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335" firstSheet="11" activeTab="11"/>
  </bookViews>
  <sheets>
    <sheet name="附表1文化体制改革和媒体融合发展专项资金评分汇总表" sheetId="5" r:id="rId1"/>
    <sheet name="附表2文化体制改革及媒体融合发展专项资金项目一览表" sheetId="30" r:id="rId2"/>
    <sheet name="3-1青岛日报-共性指标" sheetId="10" r:id="rId3"/>
    <sheet name="3-2青岛日报报业集团产出及效益绩效汇总表" sheetId="14" r:id="rId4"/>
    <sheet name="3-3报业产出及绩效计算" sheetId="15" r:id="rId5"/>
    <sheet name="4-1青岛演艺集团-共性指标" sheetId="21" r:id="rId6"/>
    <sheet name="4-2青岛演艺集团产出及效益绩效汇总表" sheetId="22" r:id="rId7"/>
    <sheet name="4-3演艺集团产出及绩效计算" sheetId="23" r:id="rId8"/>
    <sheet name="5-1青岛广播电视台-共性指标 " sheetId="31" r:id="rId9"/>
    <sheet name="5-2青岛广播电视台产出及效益绩效汇总表" sheetId="32" r:id="rId10"/>
    <sheet name="5-3青岛广播电视台产出及绩效计算 " sheetId="33" r:id="rId11"/>
    <sheet name="6-1青岛出版集团-共性指标 " sheetId="27" r:id="rId12"/>
    <sheet name="6-2青岛出版集团产出及效益绩效汇总表 " sheetId="28" r:id="rId13"/>
    <sheet name="6-3出版产出及绩效计算 " sheetId="29" r:id="rId14"/>
    <sheet name="预算执行明细" sheetId="6" state="hidden" r:id="rId15"/>
  </sheets>
  <externalReferences>
    <externalReference r:id="rId16"/>
    <externalReference r:id="rId17"/>
    <externalReference r:id="rId18"/>
    <externalReference r:id="rId19"/>
  </externalReferences>
  <definedNames>
    <definedName name="_xlnm._FilterDatabase" localSheetId="14" hidden="1">预算执行明细!$A$2:$Z$50</definedName>
    <definedName name="_xlnm._FilterDatabase" localSheetId="3" hidden="1">'3-2青岛日报报业集团产出及效益绩效汇总表'!$A$1:$L$30</definedName>
    <definedName name="_xlnm._FilterDatabase" localSheetId="9" hidden="1">'5-2青岛广播电视台产出及效益绩效汇总表'!$A$3:$L$65</definedName>
    <definedName name="_xlnm._FilterDatabase" localSheetId="1" hidden="1">附表2文化体制改革及媒体融合发展专项资金项目一览表!$A$3:$AF$43</definedName>
    <definedName name="_xlnm.Print_Area" localSheetId="2">'3-1青岛日报-共性指标'!$A$1:$J$25</definedName>
    <definedName name="_xlnm.Print_Area" localSheetId="3">'3-2青岛日报报业集团产出及效益绩效汇总表'!$A$1:$K$30</definedName>
    <definedName name="_xlnm.Print_Area" localSheetId="4">'3-3报业产出及绩效计算'!$A$1:$P$10</definedName>
    <definedName name="_xlnm.Print_Area" localSheetId="5">'4-1青岛演艺集团-共性指标'!$A$1:$J$28</definedName>
    <definedName name="_xlnm.Print_Area" localSheetId="6">'4-2青岛演艺集团产出及效益绩效汇总表'!$A$1:$K$30</definedName>
    <definedName name="_xlnm.Print_Area" localSheetId="7">'4-3演艺集团产出及绩效计算'!$A$1:$P$8</definedName>
    <definedName name="_xlnm.Print_Area" localSheetId="8">'5-1青岛广播电视台-共性指标 '!$A$1:$J$29</definedName>
    <definedName name="_xlnm.Print_Area" localSheetId="9">'5-2青岛广播电视台产出及效益绩效汇总表'!$A$1:$K$65</definedName>
    <definedName name="_xlnm.Print_Area" localSheetId="11">'6-1青岛出版集团-共性指标 '!$A$1:$J$29</definedName>
    <definedName name="_xlnm.Print_Area" localSheetId="12">'6-2青岛出版集团产出及效益绩效汇总表 '!$A$1:$J$20</definedName>
    <definedName name="_xlnm.Print_Area" localSheetId="0">附表1文化体制改革和媒体融合发展专项资金评分汇总表!$A$1:$W$9</definedName>
    <definedName name="_xlnm.Print_Area" localSheetId="1">附表2文化体制改革及媒体融合发展专项资金项目一览表!$A$1:$K$43</definedName>
    <definedName name="_xlnm.Print_Area" localSheetId="14">预算执行明细!$A$1:$Z$50</definedName>
    <definedName name="_xlnm.Print_Titles" localSheetId="2">'3-1青岛日报-共性指标'!$1:$3</definedName>
    <definedName name="_xlnm.Print_Titles" localSheetId="3">'3-2青岛日报报业集团产出及效益绩效汇总表'!$1:$3</definedName>
    <definedName name="_xlnm.Print_Titles" localSheetId="5">'4-1青岛演艺集团-共性指标'!$1:$3</definedName>
    <definedName name="_xlnm.Print_Titles" localSheetId="6">'4-2青岛演艺集团产出及效益绩效汇总表'!$1:$3</definedName>
    <definedName name="_xlnm.Print_Titles" localSheetId="8">'5-1青岛广播电视台-共性指标 '!$1:$3</definedName>
    <definedName name="_xlnm.Print_Titles" localSheetId="9">'5-2青岛广播电视台产出及效益绩效汇总表'!$1:$3</definedName>
    <definedName name="_xlnm.Print_Titles" localSheetId="11">'6-1青岛出版集团-共性指标 '!$1:$3</definedName>
    <definedName name="_xlnm.Print_Titles" localSheetId="12">'6-2青岛出版集团产出及效益绩效汇总表 '!$1:$3</definedName>
    <definedName name="_xlnm.Print_Area" localSheetId="10">'5-3青岛广播电视台产出及绩效计算 '!$A$1:$H$17</definedName>
    <definedName name="_xlnm.Print_Area" localSheetId="13">'6-3出版产出及绩效计算 '!$A$1:$H$8</definedName>
  </definedNames>
  <calcPr calcId="144525"/>
</workbook>
</file>

<file path=xl/comments1.xml><?xml version="1.0" encoding="utf-8"?>
<comments xmlns="http://schemas.openxmlformats.org/spreadsheetml/2006/main">
  <authors>
    <author>SX Y</author>
  </authors>
  <commentList>
    <comment ref="G21" authorId="0">
      <text>
        <r>
          <rPr>
            <b/>
            <sz val="9"/>
            <rFont val="宋体"/>
            <charset val="134"/>
          </rPr>
          <t>SX Y:</t>
        </r>
        <r>
          <rPr>
            <sz val="9"/>
            <rFont val="宋体"/>
            <charset val="134"/>
          </rPr>
          <t xml:space="preserve">
(合同金额100万）</t>
        </r>
      </text>
    </comment>
    <comment ref="G28" authorId="0">
      <text>
        <r>
          <rPr>
            <b/>
            <sz val="9"/>
            <rFont val="宋体"/>
            <charset val="134"/>
          </rPr>
          <t>SX Y:</t>
        </r>
        <r>
          <rPr>
            <sz val="9"/>
            <rFont val="宋体"/>
            <charset val="134"/>
          </rPr>
          <t xml:space="preserve">
（合同金额6997800）</t>
        </r>
      </text>
    </comment>
  </commentList>
</comments>
</file>

<file path=xl/comments2.xml><?xml version="1.0" encoding="utf-8"?>
<comments xmlns="http://schemas.openxmlformats.org/spreadsheetml/2006/main">
  <authors>
    <author>SX Y</author>
  </authors>
  <commentList>
    <comment ref="F27" authorId="0">
      <text>
        <r>
          <rPr>
            <b/>
            <sz val="9"/>
            <rFont val="宋体"/>
            <charset val="134"/>
          </rPr>
          <t>SX Y:</t>
        </r>
        <r>
          <rPr>
            <sz val="9"/>
            <rFont val="宋体"/>
            <charset val="134"/>
          </rPr>
          <t xml:space="preserve">
(合同金额100万）</t>
        </r>
      </text>
    </comment>
    <comment ref="F34" authorId="0">
      <text>
        <r>
          <rPr>
            <b/>
            <sz val="9"/>
            <rFont val="宋体"/>
            <charset val="134"/>
          </rPr>
          <t>SX Y:</t>
        </r>
        <r>
          <rPr>
            <sz val="9"/>
            <rFont val="宋体"/>
            <charset val="134"/>
          </rPr>
          <t xml:space="preserve">
（合同金额6997800）</t>
        </r>
      </text>
    </comment>
  </commentList>
</comments>
</file>

<file path=xl/sharedStrings.xml><?xml version="1.0" encoding="utf-8"?>
<sst xmlns="http://schemas.openxmlformats.org/spreadsheetml/2006/main" count="1740" uniqueCount="873">
  <si>
    <t>附表1</t>
  </si>
  <si>
    <t>文化体制改革和媒体融合发展专项资金评分汇总表</t>
  </si>
  <si>
    <t>序号</t>
  </si>
  <si>
    <t>单位</t>
  </si>
  <si>
    <t>项目立项总投资额</t>
  </si>
  <si>
    <t>财政支持金额</t>
  </si>
  <si>
    <t>决策</t>
  </si>
  <si>
    <t>过程</t>
  </si>
  <si>
    <t>产出</t>
  </si>
  <si>
    <t>效益</t>
  </si>
  <si>
    <t>分值合计</t>
  </si>
  <si>
    <t>分值</t>
  </si>
  <si>
    <t>权重分值</t>
  </si>
  <si>
    <t>得分</t>
  </si>
  <si>
    <t>权重得分</t>
  </si>
  <si>
    <t>资金权重得分</t>
  </si>
  <si>
    <t>青岛日报报业集团</t>
  </si>
  <si>
    <t>青岛演艺集团有限公司</t>
  </si>
  <si>
    <t>青岛广播电视台</t>
  </si>
  <si>
    <t>青岛出版集团有限公司</t>
  </si>
  <si>
    <t>合计</t>
  </si>
  <si>
    <t>附表2</t>
  </si>
  <si>
    <t>文化体制改革及媒体融合发展专项资金项目一览表</t>
  </si>
  <si>
    <t>资金明细</t>
  </si>
  <si>
    <t>年度</t>
  </si>
  <si>
    <t>项目</t>
  </si>
  <si>
    <t>当年年底支出金额</t>
  </si>
  <si>
    <t>年底预算执行率</t>
  </si>
  <si>
    <t>截止2021年6月预算在执行金额</t>
  </si>
  <si>
    <t>截止2021年6月预算在执行率</t>
  </si>
  <si>
    <t>备注</t>
  </si>
  <si>
    <t>扶持改制国有文艺演出企业发展资金</t>
  </si>
  <si>
    <t>青岛演艺集团</t>
  </si>
  <si>
    <t>2020年</t>
  </si>
  <si>
    <t>2019年</t>
  </si>
  <si>
    <t>演艺集团提前离岗人员补助</t>
  </si>
  <si>
    <t>文化体制改革和媒体融合发展专项资金</t>
  </si>
  <si>
    <t>创城宣传及公益广告补助项目</t>
  </si>
  <si>
    <t>政策项目</t>
  </si>
  <si>
    <r>
      <rPr>
        <sz val="11"/>
        <color theme="1"/>
        <rFont val="宋体"/>
        <charset val="134"/>
      </rPr>
      <t>观海</t>
    </r>
    <r>
      <rPr>
        <sz val="11"/>
        <color theme="1"/>
        <rFont val="Tahoma"/>
        <charset val="134"/>
      </rPr>
      <t>”APP</t>
    </r>
    <r>
      <rPr>
        <sz val="11"/>
        <color theme="1"/>
        <rFont val="宋体"/>
        <charset val="134"/>
      </rPr>
      <t>媒体融合平台建设</t>
    </r>
    <r>
      <rPr>
        <sz val="11"/>
        <color theme="1"/>
        <rFont val="Tahoma"/>
        <charset val="134"/>
      </rPr>
      <t xml:space="preserve"> (</t>
    </r>
    <r>
      <rPr>
        <sz val="11"/>
        <color theme="1"/>
        <rFont val="宋体"/>
        <charset val="134"/>
      </rPr>
      <t>二期</t>
    </r>
    <r>
      <rPr>
        <sz val="11"/>
        <color theme="1"/>
        <rFont val="Tahoma"/>
        <charset val="134"/>
      </rPr>
      <t>)</t>
    </r>
  </si>
  <si>
    <t>评审项目</t>
  </si>
  <si>
    <t>青青岛社区智慧生态系统建设项目</t>
  </si>
  <si>
    <r>
      <rPr>
        <sz val="11"/>
        <color theme="1"/>
        <rFont val="Tahoma"/>
        <charset val="134"/>
      </rPr>
      <t>“</t>
    </r>
    <r>
      <rPr>
        <sz val="11"/>
        <color theme="1"/>
        <rFont val="宋体"/>
        <charset val="134"/>
      </rPr>
      <t>观海</t>
    </r>
    <r>
      <rPr>
        <sz val="11"/>
        <color theme="1"/>
        <rFont val="Tahoma"/>
        <charset val="134"/>
      </rPr>
      <t>”APP</t>
    </r>
    <r>
      <rPr>
        <sz val="11"/>
        <color theme="1"/>
        <rFont val="宋体"/>
        <charset val="134"/>
      </rPr>
      <t>媒体融合平台建设（一期）</t>
    </r>
  </si>
  <si>
    <r>
      <rPr>
        <sz val="11"/>
        <color theme="1"/>
        <rFont val="Tahoma"/>
        <charset val="134"/>
      </rPr>
      <t>2019</t>
    </r>
    <r>
      <rPr>
        <sz val="11"/>
        <color theme="1"/>
        <rFont val="宋体"/>
        <charset val="134"/>
      </rPr>
      <t>年学习强国青岛平台建设</t>
    </r>
  </si>
  <si>
    <t>2019年国际时尚城建设主题宣传</t>
  </si>
  <si>
    <t>“文明新风尚”系列宣传、“我为祖国守蓝天”新媒体游戏、青岛海军发展大事记H5、青岛海洋展H5、《青岛采访指南》制件、《会刊制作》、海军节《蓝色青岛》制作、支持黄海足球队冲超宣传费等项目</t>
  </si>
  <si>
    <r>
      <rPr>
        <sz val="11"/>
        <color theme="1"/>
        <rFont val="Tahoma"/>
        <charset val="134"/>
      </rPr>
      <t>“</t>
    </r>
    <r>
      <rPr>
        <sz val="11"/>
        <color theme="1"/>
        <rFont val="宋体"/>
        <charset val="134"/>
      </rPr>
      <t>文化芯</t>
    </r>
    <r>
      <rPr>
        <sz val="11"/>
        <color theme="1"/>
        <rFont val="Tahoma"/>
        <charset val="134"/>
      </rPr>
      <t>”</t>
    </r>
    <r>
      <rPr>
        <sz val="11"/>
        <color theme="1"/>
        <rFont val="宋体"/>
        <charset val="134"/>
      </rPr>
      <t>演艺生态聚合平台项目</t>
    </r>
  </si>
  <si>
    <t>演艺产业发展项目</t>
  </si>
  <si>
    <t>基础设施提升改造</t>
  </si>
  <si>
    <r>
      <rPr>
        <sz val="11"/>
        <color theme="1"/>
        <rFont val="宋体"/>
        <charset val="134"/>
      </rPr>
      <t>歌剧</t>
    </r>
    <r>
      <rPr>
        <sz val="11"/>
        <color theme="1"/>
        <rFont val="Tahoma"/>
        <charset val="134"/>
      </rPr>
      <t>“</t>
    </r>
    <r>
      <rPr>
        <sz val="11"/>
        <color theme="1"/>
        <rFont val="宋体"/>
        <charset val="134"/>
      </rPr>
      <t>马向阳</t>
    </r>
    <r>
      <rPr>
        <sz val="11"/>
        <color theme="1"/>
        <rFont val="Tahoma"/>
        <charset val="134"/>
      </rPr>
      <t>”</t>
    </r>
    <r>
      <rPr>
        <sz val="11"/>
        <color theme="1"/>
        <rFont val="宋体"/>
        <charset val="134"/>
      </rPr>
      <t>下乡记创作及演出经费、</t>
    </r>
    <r>
      <rPr>
        <sz val="11"/>
        <color theme="1"/>
        <rFont val="Tahoma"/>
        <charset val="134"/>
      </rPr>
      <t>“</t>
    </r>
    <r>
      <rPr>
        <sz val="11"/>
        <color theme="1"/>
        <rFont val="宋体"/>
        <charset val="134"/>
      </rPr>
      <t>海军节</t>
    </r>
    <r>
      <rPr>
        <sz val="11"/>
        <color theme="1"/>
        <rFont val="Tahoma"/>
        <charset val="134"/>
      </rPr>
      <t>”</t>
    </r>
    <r>
      <rPr>
        <sz val="11"/>
        <color theme="1"/>
        <rFont val="宋体"/>
        <charset val="134"/>
      </rPr>
      <t>服装费</t>
    </r>
  </si>
  <si>
    <t>青岛市广播电视台</t>
  </si>
  <si>
    <t>青岛市广播电视台春节联欢晚会</t>
  </si>
  <si>
    <t>创城宣传及公益广告补助项目—《中国青岛》城市形象片补拍修改</t>
  </si>
  <si>
    <t>青岛最动听原创音乐扶持计划（原创音乐扶持计划暨全国原创音乐电视大赛项目）</t>
  </si>
  <si>
    <t>大型政论片《青春之岛》</t>
  </si>
  <si>
    <t>摄制“青岛地区中共红色教育基地（遗址）系列”</t>
  </si>
  <si>
    <t>“爱青岛”APP6.0迭代项目</t>
  </si>
  <si>
    <t>青岛市广播电视台超高清融媒体新闻直播车一期建设项目</t>
  </si>
  <si>
    <t>青岛市广播电视台蓝睛全媒体制播及传输系统项目</t>
  </si>
  <si>
    <t>智慧传播引擎应用项目</t>
  </si>
  <si>
    <t>2019年青岛市广播电视台“蓝睛”全媒体制播系统项目</t>
  </si>
  <si>
    <r>
      <rPr>
        <sz val="11"/>
        <color theme="1"/>
        <rFont val="Tahoma"/>
        <charset val="134"/>
      </rPr>
      <t>2</t>
    </r>
    <r>
      <rPr>
        <sz val="11"/>
        <color theme="1"/>
        <rFont val="Tahoma"/>
        <charset val="134"/>
      </rPr>
      <t>020</t>
    </r>
    <r>
      <rPr>
        <sz val="11"/>
        <color theme="1"/>
        <rFont val="宋体"/>
        <charset val="134"/>
      </rPr>
      <t>年</t>
    </r>
  </si>
  <si>
    <t>适应媒体融合环境下的广电转播制作系统升级改造项目</t>
  </si>
  <si>
    <t>广播电视台场区范围内影视剧场、演播室、直播间、机房等温控系统改造项目</t>
  </si>
  <si>
    <t>国际时尚城建设主题宣传项目</t>
  </si>
  <si>
    <t>广播电视台通过购买服务的方式将全部资金转到青岛广电蓝睛新文化有限公司（母公司为青岛广电影视传媒集团有限公司）集中采购-单一来源</t>
  </si>
  <si>
    <t>艺博会项目</t>
  </si>
  <si>
    <t>《市民圆桌会》谈话节目</t>
  </si>
  <si>
    <t>沙画短视频《我有一个海洋梦》</t>
  </si>
  <si>
    <t>海军成立70周年多国海军活动联合军乐展示”电视录制</t>
  </si>
  <si>
    <t>《青岛与海军》宣传片</t>
  </si>
  <si>
    <t>青岛城市形象宣传片制作</t>
  </si>
  <si>
    <t>支持黄海足球队冲超项目</t>
  </si>
  <si>
    <t>“青岛最动听”原创音乐扶持项目</t>
  </si>
  <si>
    <t>青岛出版集团</t>
  </si>
  <si>
    <t>文化创意产业项目补助资金（青岛出版集团重大资产重组贷款及债券贴息项目）</t>
  </si>
  <si>
    <t>大活动宣传</t>
  </si>
  <si>
    <t>2019年支持青岛出版集团整体发展项目</t>
  </si>
  <si>
    <r>
      <rPr>
        <sz val="11"/>
        <color theme="1"/>
        <rFont val="Tahoma"/>
        <charset val="134"/>
      </rPr>
      <t>2019</t>
    </r>
    <r>
      <rPr>
        <sz val="11"/>
        <color theme="1"/>
        <rFont val="宋体"/>
        <charset val="134"/>
      </rPr>
      <t>年市办实事项目</t>
    </r>
  </si>
  <si>
    <t>附表3-1</t>
  </si>
  <si>
    <t>青岛日报报业集团文化体制改革及媒体融合发展专项资金绩效评价指标体系</t>
  </si>
  <si>
    <t>一级
指标</t>
  </si>
  <si>
    <t>二级指标</t>
  </si>
  <si>
    <t>三级指标</t>
  </si>
  <si>
    <t>四级指标</t>
  </si>
  <si>
    <t>权重</t>
  </si>
  <si>
    <t>指标解释</t>
  </si>
  <si>
    <t>标杆值</t>
  </si>
  <si>
    <t>评分标准</t>
  </si>
  <si>
    <t>得分率</t>
  </si>
  <si>
    <t>决策
（16分）</t>
  </si>
  <si>
    <t>项目立项（5分）</t>
  </si>
  <si>
    <t>立项依据
充分性</t>
  </si>
  <si>
    <t>项目立项是否符合法律法规、相关政策、发展规划以及部门职责，用以反映和考核项目立项依据情况。</t>
  </si>
  <si>
    <t>充分</t>
  </si>
  <si>
    <t>①项目立项是否符合《国务院办公厅关于印发文化体制改革中经营性文化事业单位转制为企业和进一步支持文化企业发展两个规定的通知》、中共中央办公厅、国务院办公厅印发《关于加快推进媒体深度融合发展的意见》、《中共中央关于制定国民经济和社会发展第十四个五年规划和二〇三五年远景目标的建议》、《关于加快推进广播电视媒体深度融合发展的意见》等政策
②项目是否属于中共青岛市委宣传部、青岛市财政局关于印发《青岛市文化体制改革及媒体融合专项资金管理办法》的通知（青财文〔2019〕2号）中，规定的专项资金支持重点和使用范围；
③项目立项是否与青岛日报报业集团的职责范围相符，属于部门履职所需；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</si>
  <si>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</si>
  <si>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</si>
  <si>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</si>
  <si>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②所提交的文件、材料符合相关要求；提交的项目申报书内容是否完整。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</si>
  <si>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</si>
  <si>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</si>
  <si>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</si>
  <si>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</si>
  <si>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①各项目有绩效目标；
②各项目绩效目标与实际工作内容具有相关性；
③项目预期产出效益和效果符合正常的业绩水平；
④绩效目标与预算确定的项目投资额或资金量相匹配。
4项各占1/4权重分，每有一项不满足，则扣除相应权重分。</t>
  </si>
  <si>
    <t>项目预期产出效益和效果与正常的业绩水平符合度方面有待提高，项目预期产出效益和效果与正常的业绩水平相比偏低。</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</si>
  <si>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</si>
  <si>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</si>
  <si>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</si>
  <si>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③指标值与国有文化资产管理委员会办公室下发的年度重点工作任务相对应，与青岛日报报业集团和市委宣传部签订的任务书相对应。
3项各占1/3权重分，每有一项不满足，则扣除相应权重分。</t>
  </si>
  <si>
    <t>资金投入（5分）</t>
  </si>
  <si>
    <t>财政资金扶持占比</t>
  </si>
  <si>
    <t>财政资金扶持占比=财政补助金额/项目总投资额，用以反映财政资金带动社会投资情况及财政资金分配的合理性。</t>
  </si>
  <si>
    <t>达到全部项目平均财政补助资金比率</t>
  </si>
  <si>
    <t>财政资金达到全部项目平均财政补助资金比率的满分，否则按比例扣分。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</si>
  <si>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</si>
  <si>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</si>
  <si>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②根据预算安排内容与文化体制改革及媒体融合发展的目标及年度工作重点的匹配程度判断，分别得年度剩余权重的100%、75%、50%、25%和0%。</t>
  </si>
  <si>
    <t>“观海”APP媒体融合平台建设（二期）项目提报表中显示，二期项目资金安排中物业费为30万元，项目期间为2020年8月至2021年8月。通过检查项目支出明细账，截止2021年6月，“观海”APP媒体融合平台建设（一期、二期）项目共计支出物业费444.00万元（2020年1月至2021年6月）。</t>
  </si>
  <si>
    <t>过程
（24分）</t>
  </si>
  <si>
    <t>资金管理（15分）</t>
  </si>
  <si>
    <t>配套资金到位率</t>
  </si>
  <si>
    <t>实际到位的配套资金与计划投入的配套资金的比率，用以反映和考核资金落实情况。</t>
  </si>
  <si>
    <t>到位率100%得满分，否则按到位比例得分。</t>
  </si>
  <si>
    <t>预算执行率</t>
  </si>
  <si>
    <t>2019、2020年青岛日报报业集团各项目预算资金是否按照计划执行，用以反映或考核各项目预算执行情况。各项目预算执行率=（实际支出金额/实际到位资金）×100%。</t>
  </si>
  <si>
    <t>各项目预算执行率达100%，则得满分，每个项目每降低1%扣5%权重分，扣完为止。</t>
  </si>
  <si>
    <t>“观海”APP媒体融合平台建设（一期）项目，截止2019年12月31日预算执行率为0,截止2020年8月31日，预算执行率为14.28%；2019年学习强国青岛平台建设项目，截止2019年12月31日预算执行率为23.65%。预算执行率较低，考虑到2019年度项目申报时间较晚，本项扣2分。</t>
  </si>
  <si>
    <t>资金使用
合规性</t>
  </si>
  <si>
    <t>专账核算情况</t>
  </si>
  <si>
    <t>项目是否设置专账核算，用以反映资金核算管理的规范性</t>
  </si>
  <si>
    <t>设置转账核算</t>
  </si>
  <si>
    <t>每个项目均设置专账核算，得满分，否则不得分。</t>
  </si>
  <si>
    <t>项目资金使用管理信息公开情况</t>
  </si>
  <si>
    <t>项目是否按照《关于印发&lt;青岛市文化体制改革及媒体融合发展专项资金管理办法&gt;的通知》，建立项目资金使用管理的信息公开机制</t>
  </si>
  <si>
    <t>建立项目资金使用管理的信息公开机制</t>
  </si>
  <si>
    <t>建立项目资金使用管理的信息公开机制，并执行有效，得满分；否则不得分。</t>
  </si>
  <si>
    <t>未按照《关于印发&lt;青岛市文化体制改革及媒体融合发展专项资金管理办法&gt;的通知》，建立项目资金使用管理的信息公开机制</t>
  </si>
  <si>
    <t>资金使用程序规范性</t>
  </si>
  <si>
    <t>资金使用程序是否符合相关法律法规、制度和规定，是否履行招投标等采购手续，用以反映项目资金使用程序的规范性。</t>
  </si>
  <si>
    <t>程序规范</t>
  </si>
  <si>
    <t>资金使用程序规范，得满分，每发现1处使用不规范情况，扣20%权重分，扣完为止。</t>
  </si>
  <si>
    <t>“观海”APP媒体融合平台建设项目中，截止2021年6月支付物业费共计444万元，为青岛日报报业集团支付下属子公司青岛日报报业集团实业有限责任公司的物业费，经了解，青岛日报报业集团与下属子公司青岛日报报业集团实业有限责任公司未签订相关合同，资金使用程序规范性有待提高。</t>
  </si>
  <si>
    <t>资金使用用途合规性</t>
  </si>
  <si>
    <t>资金使用用途是否符合相关法律法规、制度和规定，是否与本项目相关，用以反映和考核项目资金使用用途的合规性。</t>
  </si>
  <si>
    <t>用途合规</t>
  </si>
  <si>
    <t>资金使用用途合规，得满分，每发现1处使用不规范情况，扣1分，扣完为止。</t>
  </si>
  <si>
    <t>经检查项目支出明细账，学习强国青岛学习平台项目支付子公司人员劳务费36万，内部员工绩效5.25万元；青青岛社区改造项目专项资金用于支付互联网接入服务费96万元，用于整个青岛新闻网络传播有限公司的网络传输，资金使用用途合规性有待提高。</t>
  </si>
  <si>
    <t>组织实施（9分） </t>
  </si>
  <si>
    <t>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</si>
  <si>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</si>
  <si>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</si>
  <si>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</si>
  <si>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制度执行有效性</t>
  </si>
  <si>
    <t>项目绩效自评情况</t>
  </si>
  <si>
    <t>检查项目单位是否对项目绩效进行自评，绩效自评是否存在自评敷衍了事、弄虚作假的情况。</t>
  </si>
  <si>
    <t>项目绩效自评情况良好</t>
  </si>
  <si>
    <t>对项目绩效进行自评，得20%权重分；绩效自评不存在弄虚作假情况，得20%权重分；绩效自评不存在敷衍了事情况，得60%权重分。</t>
  </si>
  <si>
    <t>经检查，青岛日报报业集团对所有的项目绩效进行自评，但仅对各项目绩效完成情况进行自评，未对项目执行过程中存在的问题等进行自评；“观海”APP一期、二期项目的预算执行情况未在自评报告中体现。</t>
  </si>
  <si>
    <t>项目跟踪管理情况</t>
  </si>
  <si>
    <t>主管部门是否对项目进行必要的跟踪管理，用以反映项目的日常管理情况。</t>
  </si>
  <si>
    <t>对项目进行必要的跟踪管理</t>
  </si>
  <si>
    <t>主管部门对项目进行必要的跟踪管理，得满分，否则不得分。</t>
  </si>
  <si>
    <t>项目验收情况</t>
  </si>
  <si>
    <t>主管部门是否按照规定进行项目验收，用以反映项目的验收情况。</t>
  </si>
  <si>
    <t>按照规定进行项目验收</t>
  </si>
  <si>
    <t>主管部门对项目进行必要的验收，得满分，否则不得分。</t>
  </si>
  <si>
    <t>产出及效益（60分）</t>
  </si>
  <si>
    <t>详情见青岛日报报业集团产出及效益绩效汇总表</t>
  </si>
  <si>
    <t>文化体制改革及媒体融合发展整体工作情况</t>
  </si>
  <si>
    <t>经济效益</t>
  </si>
  <si>
    <t>运营收益</t>
  </si>
  <si>
    <t>2020年青岛日报报业集团营业总收入平均增长率</t>
  </si>
  <si>
    <t>≥2%</t>
  </si>
  <si>
    <t>2020年青岛日报报业集团营业总收入平均增长率≥2%，得满分，否则每降低1个百分点，扣5分，扣完为止。</t>
  </si>
  <si>
    <t>社会效益</t>
  </si>
  <si>
    <t>重大主题宣传任务完成率</t>
  </si>
  <si>
    <t>2020年策划推出重大主题报道不少于12组，实行报网微端全媒体传播，为全市经济社会发展营造良好舆论氛围</t>
  </si>
  <si>
    <t>任务完成率为100%，得满分，否则按比例扣分。</t>
  </si>
  <si>
    <t>新媒体平台和微信公众号做大做强情况</t>
  </si>
  <si>
    <t>考核是否依据《市委深改委文化体制改革专项小组关于印发&lt;市委深改委文化体制改革专项小组2020年工作要点及责任分工&gt;的通知》，做大做强新媒体平台和微信公众号</t>
  </si>
  <si>
    <t>做大做强</t>
  </si>
  <si>
    <t>上榜省内权威机构发布的新媒体影响力排行榜得满分，否则酌情扣分。</t>
  </si>
  <si>
    <t>附表3-2</t>
  </si>
  <si>
    <t>青岛日报报业集团产出及效益绩效汇总表</t>
  </si>
  <si>
    <t>项目名称</t>
  </si>
  <si>
    <t>财政资金（万元）</t>
  </si>
  <si>
    <t>2020年创城宣传及公益广告补助项目</t>
  </si>
  <si>
    <t>产出数量</t>
  </si>
  <si>
    <t>报纸整版刊登数</t>
  </si>
  <si>
    <t>青岛日报每月公益广告不低于6个整版，全年发布72个整版；青岛早报公益广告每月刊发不低于6个整版，全年发布72个整版；青岛晚报公益广告每月刊发不低于6个整版，全年发布72个整版；读报参考每月3个版，全年36个正版，画报双月一次刊登1个整版，全年6个整版</t>
  </si>
  <si>
    <t>258个整版</t>
  </si>
  <si>
    <t>全年发布的公益广告和计划数相比，每减少一个整版，扣5%权重，扣完为止</t>
  </si>
  <si>
    <t>新媒体刊登公益广告次数</t>
  </si>
  <si>
    <t>日报早报晚报新媒体、青岛新闻网等每月刊发公益广告不低于2次，全年不低于24次；青岛新闻网青报网客户端首页设置公益广告专题。</t>
  </si>
  <si>
    <t>24次</t>
  </si>
  <si>
    <t>全年发布的公益广告和计划数相比，每减少一次，扣5%权重，扣完为止</t>
  </si>
  <si>
    <t>产出质量</t>
  </si>
  <si>
    <t>全年开展的创城宣传和公益广告刊登工作质量合格率</t>
  </si>
  <si>
    <t>考察青岛日报报业集团全年开展的创城宣传和公益广告刊登工作是否100%、零失误完成</t>
  </si>
  <si>
    <t>工作质量合格率为100%，得满分，否则每降低1个百分点，扣5%权重，扣完为止。</t>
  </si>
  <si>
    <t>传阅人数数量</t>
  </si>
  <si>
    <t>考察开展的创城宣传和公益广告传阅人次</t>
  </si>
  <si>
    <t>500万人次</t>
  </si>
  <si>
    <t>传阅人数500万人次，得满分，否则每降低1个百分点，扣5%权重，扣完为止。</t>
  </si>
  <si>
    <t>目标值较低</t>
  </si>
  <si>
    <t>创城宣传社会影响力</t>
  </si>
  <si>
    <t>考察创城宣传效果，对建设文明城市、弘扬主旋律、传播正能量、树立好形象等方面的积极作用</t>
  </si>
  <si>
    <t>影响积极</t>
  </si>
  <si>
    <t>依据中央文明办公布复查确认保留荣誉称号的前五届全国文明城市名单，考察创城宣传的效果，青岛市保留“全国文明城市”称号，得满分，否则酌情扣分。</t>
  </si>
  <si>
    <t>中央文明办公布复查确认保留荣誉称号的前五届全国文明城市名单中含青岛，对复查测评成绩排名靠前的33个全国文明城市（区）通报表扬（含青岛）</t>
  </si>
  <si>
    <t>2</t>
  </si>
  <si>
    <t>2020年观海”APP媒体融合平台建设（二期）项目</t>
  </si>
  <si>
    <t>产出时效</t>
  </si>
  <si>
    <t>项目进度</t>
  </si>
  <si>
    <t>2020年观海”APP媒体融合平台建设(二期)项目计划2021年8月完成，2020年底计划构建完成六大生态：融合生态、开放生态、资讯生态、服务生态、用户生态、资源生态。</t>
  </si>
  <si>
    <t>2020年底构建完成六大生态</t>
  </si>
  <si>
    <t>2020年底六大生态全部构建完成，得满分；未完成一个生态，扣20%权重，扣完为止。</t>
  </si>
  <si>
    <t>客户端下载量</t>
  </si>
  <si>
    <t>2020年底，“观海”移动新媒体客户端用户人数</t>
  </si>
  <si>
    <t>≥10万</t>
  </si>
  <si>
    <t>2020年底，“观海”移动新媒体客户端用户人数≥10万，得满分，否则每降低1个百分点，扣5%权重，扣完为止。</t>
  </si>
  <si>
    <t>产品传播力</t>
  </si>
  <si>
    <t>观海App开展线上线下立体化推广服务与活动，设置跨边界延展的社群交互板块，重点开展全市地推与大活动评选、积分商城等，受众群体突破100万。</t>
  </si>
  <si>
    <t>100万</t>
  </si>
  <si>
    <t>受众群体突破100万，得满分，否则每降低1个百分点，扣5%权重，扣完为止。</t>
  </si>
  <si>
    <t>市民投诉平台月均受理问题数量</t>
  </si>
  <si>
    <t>网端市民投诉平台，直通12345政务热线，“手机一点，政府督办”，力争月均受理问题数量达到1000件</t>
  </si>
  <si>
    <t>1000件</t>
  </si>
  <si>
    <t>2021年月均受理问题数量达到1000件，得满分，否则每降低1个百分点，扣5%权重，扣完为止。</t>
  </si>
  <si>
    <t>社会认可度</t>
  </si>
  <si>
    <t>考察“观海”APP是否得到社会认可</t>
  </si>
  <si>
    <t>社会认可</t>
  </si>
  <si>
    <t>“观海”APP在业内权威平台每获得1个奖项，得3分，最高得分6分。</t>
  </si>
  <si>
    <t>复合收益</t>
  </si>
  <si>
    <t>实现各端在平台上增值，各端在平台上受益，形成具有青报特色、资源聚合与平台开放培育的运营模式，报社（集团）复合型收益（包括影响力收益、平台培育收益、运营收益等）力争突破500万元</t>
  </si>
  <si>
    <t>500万</t>
  </si>
  <si>
    <t>2020年复合型收益达500万，得满分，否则每降低1个百分点，扣5%权重，扣完为止。</t>
  </si>
  <si>
    <t>3</t>
  </si>
  <si>
    <t>2020年青青岛社区智慧生态系统建设项目</t>
  </si>
  <si>
    <t>完成用户画像构建系统数量</t>
  </si>
  <si>
    <t>a级用户1000人以上，b级用户3000人以上</t>
  </si>
  <si>
    <t>a级用户1000人，b级用户3000人</t>
  </si>
  <si>
    <t>2020年底，a级用户1000人以上且b级用户3000人以上，得满分，a级用户或b级用户数量每降低1个百分点，扣5%权重，扣完为止。</t>
  </si>
  <si>
    <t>舆情风险</t>
  </si>
  <si>
    <t>项目完成后，将关于青岛市的重大舆情风险率预计降低至5%以下。2020年底重大舆情风险率降至8%以下。</t>
  </si>
  <si>
    <t>2020年底重大舆情风险率降至8%以下，得满分，否则每降低1个百分点，扣5%权重，扣完为止。</t>
  </si>
  <si>
    <t>为民办事效率</t>
  </si>
  <si>
    <t>提升政民互动效率，从各方面推动网友投诉爆料的监督转办，项目完成后，预计将平台办事率从60%提升至80%。2020年底平台办事率达到70%。</t>
  </si>
  <si>
    <t>2020年底平台办事率达到70%，得满分，否则每降低1个百分点，扣5%权重，扣完为止。</t>
  </si>
  <si>
    <t>平台收益增长值</t>
  </si>
  <si>
    <t>预计该平台项目升级完成后，社区平台经济效益提升15%以上。截止2020年年底，计划将平台经济效益提升5%左右，即525万元。</t>
  </si>
  <si>
    <t>525万元</t>
  </si>
  <si>
    <t>2020年底平台经济效益提升5%，得满分，否则每降低1个百分点，扣5%权重，扣完为止。</t>
  </si>
  <si>
    <t>目标值无法考核</t>
  </si>
  <si>
    <t>4</t>
  </si>
  <si>
    <t>2019年“观海”APP媒体融合平台建设（一期）项目</t>
  </si>
  <si>
    <t>技术平台搭建完成率</t>
  </si>
  <si>
    <t>是否完成技术平台搭建</t>
  </si>
  <si>
    <t>完成率为100%，得满分，否则每降低1个百分点，扣5%权重，扣完为止。</t>
  </si>
  <si>
    <t>软硬件设备采购完成率</t>
  </si>
  <si>
    <t>是否完成软硬件设备采购</t>
  </si>
  <si>
    <t>推广运营APP完成率</t>
  </si>
  <si>
    <t>是否开始进行推广运营APP</t>
  </si>
  <si>
    <t>“观海”APP媒体融合平台建设（一期）完成及时率</t>
  </si>
  <si>
    <t>考察“观海”APP媒体融合平台建设（一期）完成及时性</t>
  </si>
  <si>
    <t>及时</t>
  </si>
  <si>
    <t>完成及时率为100%，得满分，否则每降低1个百分点，扣5%权重，扣完为止。</t>
  </si>
  <si>
    <t>5</t>
  </si>
  <si>
    <t>2019年学习强国青岛平台建设</t>
  </si>
  <si>
    <t>平台建设完成及时率</t>
  </si>
  <si>
    <t>考核学习强国青岛平台是否按要求及时完成建设</t>
  </si>
  <si>
    <t>完成及时率为100%，得满分，否则每降低1个百分点，扣%权重，扣完为止。</t>
  </si>
  <si>
    <t>平台建设验收合格率</t>
  </si>
  <si>
    <t>考察学习强国青岛平台建设质量是否合格</t>
  </si>
  <si>
    <t>验收合格率为100%，得满分，否则每降低1个百分点，扣%权重，扣完为止。</t>
  </si>
  <si>
    <t>青岛学习强国平台注册人数</t>
  </si>
  <si>
    <t>考核青岛学习强国平台关注人数</t>
  </si>
  <si>
    <t>78万</t>
  </si>
  <si>
    <t>青岛学习强国平台注册人数78万，得满分，否则每降低1个百分点，扣5%权重，扣完为止。</t>
  </si>
  <si>
    <t>社会影响力</t>
  </si>
  <si>
    <t>考察青岛学习强国平台社会影响力</t>
  </si>
  <si>
    <t>较高</t>
  </si>
  <si>
    <t>青岛学习强国平台每获得1个奖项，得10分，最高得分15分。</t>
  </si>
  <si>
    <t>6</t>
  </si>
  <si>
    <t>2019年“文明新时尚”系列宣传</t>
  </si>
  <si>
    <t>国际时尚城建设主题宣传完成率</t>
  </si>
  <si>
    <t>考察是否按要求完成国际时尚城建设主题宣传工作</t>
  </si>
  <si>
    <t>会刊制作完成率</t>
  </si>
  <si>
    <t>考察是否按要求完成会刊制作工作</t>
  </si>
  <si>
    <t>《蓝色青岛》制作完成率</t>
  </si>
  <si>
    <t>考察是否按要求完成《蓝色青岛》制作工作</t>
  </si>
  <si>
    <t>金额</t>
  </si>
  <si>
    <t>占比</t>
  </si>
  <si>
    <t>观海”APP媒体融合平台建设</t>
  </si>
  <si>
    <t>“观海”APP媒体融合平台建设</t>
  </si>
  <si>
    <t>附表3-3</t>
  </si>
  <si>
    <t>青岛日报报业集团产出及效益绩效得分计算表</t>
  </si>
  <si>
    <t>预算金额</t>
  </si>
  <si>
    <t>总分</t>
  </si>
  <si>
    <t>按预算比例计算总分</t>
  </si>
  <si>
    <t>按预算比例计算得分</t>
  </si>
  <si>
    <t>按比例分值</t>
  </si>
  <si>
    <t>按比例得分</t>
  </si>
  <si>
    <t>观海”APP媒体融合平台建设 (二期)</t>
  </si>
  <si>
    <t>“观海”APP媒体融合平台建设（一期）</t>
  </si>
  <si>
    <t>附表4-1</t>
  </si>
  <si>
    <t>青岛演艺集团文化体制改革及媒体融合发展专项资金绩效评价指标体系</t>
  </si>
  <si>
    <t>决策
（17分）</t>
  </si>
  <si>
    <t>①项目立项是否符合《国务院办公厅关于印发文化体制改革中经营性文化事业单位转制为企业和进一步支持文化企业发展两个规定的通知》、中共中央办公厅、国务院办公厅印发《关于加快推进媒体深度融合发展的意见》、《中共中央关于制定国民经济和社会发展第十四个五年规划和二〇三五年远景目标的建议》、《关于加快推进广播电视媒体深度融合发展的意见》等政策
②项目是否属于中共青岛市委宣传部、青岛市财政局关于印发《青岛市文化体制改革及媒体融合专项资金管理办法》的通知（青财文〔2019〕2号）中，规定的专项资金支持重点和使用范围；
③项目立项是否与青岛演艺集团的职责范围相符，属于部门履职所需；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</si>
  <si>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①将项目绩效目标细化分解为具体的绩效指标；
②指标值清晰、可衡量；
③指标值与国有文化资产管理委员会办公室下发的年度重点工作任务相对应，与青岛演艺集团和市委宣传部签订的任务书相对应。
3项各占1/3权重分，每有一项不满足，则扣除相应权重分。</t>
  </si>
  <si>
    <t>资金投入（6分）</t>
  </si>
  <si>
    <t>过程
（23分）</t>
  </si>
  <si>
    <t>资金管理（14分）</t>
  </si>
  <si>
    <t>2019、2020年青岛演艺集团各项目预算资金是否按照计划执行，用以反映或考核各项目预算执行情况。各项目预算执行率=（实际支出金额/实际到位资金）×100%。</t>
  </si>
  <si>
    <t>演艺产业发展项目2019年底预算执行率为6.22%，基础设施升级改造项目、歌剧“马向阳”下乡记创作及演出经费、“海军节”服装费2019年预算执行率均为0；2020年“文化芯”演艺生态聚合平台项目2020年底预算执行率为71.81%</t>
  </si>
  <si>
    <t>设置专账核算</t>
  </si>
  <si>
    <t>每个项目均设置专账核算，得满分，每发现一个项目未专账核算，扣0.5分。</t>
  </si>
  <si>
    <t>青岛演艺集团对大部分项目进行转账核算，但个别支出未通过专账进行核算，如基础设施升级改造项目中，歌舞剧院直接将专项资金通过固定资产列支，未进行专账核算；提前离岗人员经费补助项目中，歌舞剧院对提前离岗人员的工资进行专账核算，对上述人员的社保、公积金未做专账核算。</t>
  </si>
  <si>
    <t>资金使用用途合规，得满分，每发现1处使用不规范情况，扣20%权重分，扣完为止。</t>
  </si>
  <si>
    <t>1.2020年“文化芯”演艺生态聚合平台项目-《Live music》音乐秀板块中，评审、主持人的个人所得税由项目单位承担，并在财政资金中列支。2.2019年演艺产业发展项目-艺术培训学校中，财政资金计划用于设立城阳一校区、城阳二校区、黄岛校区、胶州校区等艺术培训学校，由于项目启动时间较晚，加之2020年初疫情的影响，培训学校未按计划设立，相关财政资金用于扶持青岛演艺集团的已有艺校，并在2020年的文化体制改革及媒体融合发展资金中重新申请设立艺术培训学校的专项资金。3.2020年“文化芯”演艺生态聚合平台项目-艺术培训板块中，西海岸艺校、艺术教育公司存在通过财政资金支付员工福利的情况。</t>
  </si>
  <si>
    <t>产出及效益</t>
  </si>
  <si>
    <t>详情见青岛演艺集团产出及效益绩效汇总表</t>
  </si>
  <si>
    <t>2020年青岛演艺集团营业总收入平均增长率</t>
  </si>
  <si>
    <t>2020年青岛演艺集团营业总收入平均增长率≥2%，得满分，否则每降低1个百分点，扣5分，扣完为止。</t>
  </si>
  <si>
    <t>《国·家》创排、展演完成率</t>
  </si>
  <si>
    <t>考察是否按照青岛市国有文化资产管理委员会办公室《关于下发2020年度重点工作任务的通知》，完成《国·家》创排、展演工作</t>
  </si>
  <si>
    <t>现代京剧《人民卫士》和话剧《笔枪烈士》剧本的论证、创作工作开展情况</t>
  </si>
  <si>
    <t>考察是否按照青岛市国有文化资产管理委员会办公室《关于下发2020年度重点工作任务的通知》，做好现代京剧《人民卫士》和话剧《笔枪烈士》剧本的论证、创作</t>
  </si>
  <si>
    <t>及时、顺利开展</t>
  </si>
  <si>
    <t>及时、顺利开展现代京剧《人民卫士》和话剧《笔枪烈士》剧本的论证、创作工作，得满分，否则酌情扣分。</t>
  </si>
  <si>
    <t>儿童戏剧节、高端京剧演出项目及京剧进校园普及性公益演出活动完成率</t>
  </si>
  <si>
    <t>考察是否按照青岛市国有文化资产管理委员会办公室《关于下发2020年度重点工作任务的通知》，举办儿童戏剧节、高端京剧演出项目及京剧进校园普及性公益演出活动。</t>
  </si>
  <si>
    <t>策划开展“时尚青岛”云上艺术季活动完成率</t>
  </si>
  <si>
    <t>考察是否按照青岛市国有文化资产管理委员会办公室《关于下发2020年度重点工作任务的通知》，策划开展“时尚青岛”云上艺术季活动。</t>
  </si>
  <si>
    <t>“文化惠民”演出任务完成率</t>
  </si>
  <si>
    <t>考察“文化惠民”演出任务完成情况</t>
  </si>
  <si>
    <t>社会效益自查报告第5页，工作得到有关部门认可</t>
  </si>
  <si>
    <t>附表4-2</t>
  </si>
  <si>
    <t>青岛演艺集团产出及效益绩效汇总表</t>
  </si>
  <si>
    <t>2020年“文化芯”演艺生态聚合平台项目</t>
  </si>
  <si>
    <t>建立数字化沉浸式教学艺校数量</t>
  </si>
  <si>
    <t>考察是否按计划在2020年建立3所数字化沉浸式教学艺校</t>
  </si>
  <si>
    <t>3所</t>
  </si>
  <si>
    <t>2020年建立3所数字化沉浸式教学艺校，得满分，否则按比例扣分，扣完为止。</t>
  </si>
  <si>
    <t>打造“云直播”平台板块</t>
  </si>
  <si>
    <t>考察2020年是否按计划在“文化芯”演艺生态聚合平台上打造“云直播板块”</t>
  </si>
  <si>
    <t>1个</t>
  </si>
  <si>
    <t>考察2020年在“文化芯”演艺生态聚合平台上打造“云直播板块”，得满分，否则酌情减分。</t>
  </si>
  <si>
    <t>拍摄制作影视教育作品</t>
  </si>
  <si>
    <t>考察是否按计划在2020年拍摄制作10部影视教育作品</t>
  </si>
  <si>
    <t>10部</t>
  </si>
  <si>
    <t>2020年拍摄制作10部影视教育作品，得满分，否则每减少1部，按比例扣分，扣完为止。</t>
  </si>
  <si>
    <t>《Live music》音乐秀开播</t>
  </si>
  <si>
    <t>考察是否按计划在2020年开播1期《Live music》音乐秀</t>
  </si>
  <si>
    <t>1期</t>
  </si>
  <si>
    <t>在2020年开播1期《Live music》音乐秀，得满分，否则不得分。</t>
  </si>
  <si>
    <t>永安大戏院升级改造装修和舞美基地改造完成率</t>
  </si>
  <si>
    <t>考察2020年是否按计划完成永安大戏院升级改造装修和舞美基地改造。</t>
  </si>
  <si>
    <t>2020年按计划完成永安大戏院升级改造装修和舞美基地改造，得满分，否则酌情扣分。</t>
  </si>
  <si>
    <t>永安大戏院演出场次</t>
  </si>
  <si>
    <t>考察2020年是否按计划完成永安大戏院演出场次</t>
  </si>
  <si>
    <t>100场</t>
  </si>
  <si>
    <t>2020年永安大戏院演出场次100场，得满分，否则，每降低一个百分点，扣5%权重，扣完为止。</t>
  </si>
  <si>
    <t>实际完成85场</t>
  </si>
  <si>
    <t>艺校培训培养师资情况</t>
  </si>
  <si>
    <t>艺术院校在2020年培育20名师资团队。</t>
  </si>
  <si>
    <t>20名</t>
  </si>
  <si>
    <t>2020年艺术院校实现培养师资20名，得满分，否则，每降低一个百分点，扣5%权重，扣完为止。</t>
  </si>
  <si>
    <t>云直播直播场次数</t>
  </si>
  <si>
    <t>考察云直播直播场次数是否按计划完成。</t>
  </si>
  <si>
    <t>20场</t>
  </si>
  <si>
    <t>2020年线上云直播直播场次数为20场，得满分，否则直播场次数每缺少一场，扣5%权重，扣完为止。</t>
  </si>
  <si>
    <t>云直播有效观看人次</t>
  </si>
  <si>
    <t>考察2020年线上云直播有效观看人次是否按计划完成</t>
  </si>
  <si>
    <t>40万人次</t>
  </si>
  <si>
    <t>2020年线上云直播有效观看人次达到40万，得满分，否则有效观看人次每降低1%，扣5%权重分，扣完为止。</t>
  </si>
  <si>
    <t>“文化芯”网上销售额</t>
  </si>
  <si>
    <t>考察“文化芯”网上商城2020年是否按计划完成销售额600万元。</t>
  </si>
  <si>
    <t>600万元</t>
  </si>
  <si>
    <t>“文化芯”网上商城2020年销售额达到600万元，得满分，否则每降低1个百分点，扣5%权重分，扣完为止。</t>
  </si>
  <si>
    <t>实际实现524万</t>
  </si>
  <si>
    <t>艺术院校经营收入</t>
  </si>
  <si>
    <t>考察2020年开办的三所艺校，是否实现收入70万。</t>
  </si>
  <si>
    <t>70万</t>
  </si>
  <si>
    <t>3所艺术院校实现收入70万，得满分，否则每降低1个百分点，扣5%权重，扣完为止。</t>
  </si>
  <si>
    <t>集团2020年经营收入</t>
  </si>
  <si>
    <t>考察集团2020年是否实现经营收入2900万元。</t>
  </si>
  <si>
    <t>2900万元</t>
  </si>
  <si>
    <t>集团2020年实现经营收入2900万元，得满分，否则每降低一个百分点，扣5%权重，扣完为止。</t>
  </si>
  <si>
    <t>2019年演艺产业发展项目</t>
  </si>
  <si>
    <t>艺术培训学校建设数量</t>
  </si>
  <si>
    <t>考察截止2020年4月，4所艺术培训学校是否建立完成</t>
  </si>
  <si>
    <t>4所</t>
  </si>
  <si>
    <t>截止2020年4月，完成率达4所，得满分，否则按比例扣分。</t>
  </si>
  <si>
    <t>1所</t>
  </si>
  <si>
    <t>青少年教育系列短片电影</t>
  </si>
  <si>
    <t>考察是否完成20部青少年教育系列短片电影</t>
  </si>
  <si>
    <t>20部</t>
  </si>
  <si>
    <t>完成20部，得满分，否则按比例扣分。</t>
  </si>
  <si>
    <t>14部</t>
  </si>
  <si>
    <t>升级售票系统</t>
  </si>
  <si>
    <t>考察是否完成售票系统升级为全方位综合服务平台</t>
  </si>
  <si>
    <t>升级完成</t>
  </si>
  <si>
    <t>成售票系统升级为全方位综合服务平台，得满分，否则根据进度扣分。</t>
  </si>
  <si>
    <t>艺术培训学校2019年收益情况</t>
  </si>
  <si>
    <t>考察2019年是否按计划实现利润140万元</t>
  </si>
  <si>
    <t>实现利润140万元</t>
  </si>
  <si>
    <t>艺术培训学校2019年实现利润140万元，得满分，否则每降低1个百分点，扣5%权重分，扣完为止。</t>
  </si>
  <si>
    <t>收入0</t>
  </si>
  <si>
    <t>2019年影视放映及流量广告等收入情况</t>
  </si>
  <si>
    <t>考察2020年是否按计划实现影视播放、流量广告收入400万元</t>
  </si>
  <si>
    <t>实现影视播放收入300万元、流量广告收入100万元</t>
  </si>
  <si>
    <t>2019年实现影视播放收入300万元、流量广告收入100万元，得满分，否则每降低1个百分点，扣5%权重分，扣完为止。</t>
  </si>
  <si>
    <t>收入共计366万</t>
  </si>
  <si>
    <t>2019年演艺票务综合服务平台销售收入</t>
  </si>
  <si>
    <t>考察2019年演艺票务综合服务平台是否按计划实现销售收入1500万元</t>
  </si>
  <si>
    <t>1500万</t>
  </si>
  <si>
    <t>2019年演艺票务综合服务平台按计划实现销售收入1500万元，得满分，否则每降低1个百分点，扣5%权重分，扣完为止。</t>
  </si>
  <si>
    <t>满意度</t>
  </si>
  <si>
    <t>观众对演出满意度</t>
  </si>
  <si>
    <t>根据2020年观众满意度调查结果，满意度≥90%，得满分，否则按比例扣分。</t>
  </si>
  <si>
    <t>实际收入2120万；目标值较低</t>
  </si>
  <si>
    <t>2019年基础设施提升项目</t>
  </si>
  <si>
    <t>各剧场升级改造完成率</t>
  </si>
  <si>
    <t>考察各剧场升级改造完成进度</t>
  </si>
  <si>
    <t>各剧场完成升级改造，得满分，否则每降低1个百分点，扣5%权重分，扣完为止。</t>
  </si>
  <si>
    <t>各剧场升级改造合格率</t>
  </si>
  <si>
    <t>考察各剧场升级改造完成质量</t>
  </si>
  <si>
    <t>各剧场完成升级改造验收合格，得满分，否则酌情扣分。</t>
  </si>
  <si>
    <t>各剧场升级改造完成及时率</t>
  </si>
  <si>
    <t>考察各剧场升级改造完成及时性</t>
  </si>
  <si>
    <t>各剧场按计划完成升级改造，得满分，否则每降低1个百分点，扣5%权重分，扣完为止。</t>
  </si>
  <si>
    <t>2020年完成</t>
  </si>
  <si>
    <t>2019年演出场次</t>
  </si>
  <si>
    <t>考察是否按计划完成600场演出</t>
  </si>
  <si>
    <t>600场次</t>
  </si>
  <si>
    <t>演出达600场次得满分，否则每减少一场次，扣5%权重分，扣完为止</t>
  </si>
  <si>
    <t>2019年歌剧“马向阳”下乡记创作及演出经费、“海军节”服装费</t>
  </si>
  <si>
    <t>海军节演出完成率</t>
  </si>
  <si>
    <t>考察2019年是否按计划完成海军节演出</t>
  </si>
  <si>
    <t>1场</t>
  </si>
  <si>
    <t>2019年海军节演出完成得满分，未完成0分。</t>
  </si>
  <si>
    <t>歌剧“马向阳”下乡记创作及演出完成及时率</t>
  </si>
  <si>
    <t>考察是否及时完成歌剧的创作并演出</t>
  </si>
  <si>
    <t>歌剧“马向阳”下乡记创作及演出完成及时率达100%，得满分，否则每降低1个百分点，扣5权重分，扣完为止。</t>
  </si>
  <si>
    <t>考察歌剧是否得到社会认可</t>
  </si>
  <si>
    <t>认可</t>
  </si>
  <si>
    <t>获得省级奖项，得10分，获得国家级奖项，得20分。</t>
  </si>
  <si>
    <t>获国家“文华大奖”（宣传部2019年自评报告）</t>
  </si>
  <si>
    <t>附表4-3</t>
  </si>
  <si>
    <t>青岛演艺集团产出及效益绩效得分计算表</t>
  </si>
  <si>
    <t>比例分值</t>
  </si>
  <si>
    <t>“文化芯”演艺生态聚合平台项目</t>
  </si>
  <si>
    <t>基础设施提升项目</t>
  </si>
  <si>
    <t>歌剧“马向阳”下乡记创作及演出经费、“海军节”服装费</t>
  </si>
  <si>
    <t>附表5-1</t>
  </si>
  <si>
    <t>青岛广播电视台文化体制改革及媒体融合发展专项资金绩效评价指标体系</t>
  </si>
  <si>
    <t>①项目立项是否符合《国务院办公厅关于印发文化体制改革中经营性文化事业单位转制为企业和进一步支持文化企业发展两个规定的通知》、中共中央办公厅、国务院办公厅印发《关于加快推进媒体深度融合发展的意见》、《中共中央关于制定国民经济和社会发展第十四个五年规划和二〇三五年远景目标的建议》、《关于加快推进广播电视媒体深度融合发展的意见》等政策
②项目是否属于中共青岛市委宣传部、青岛市财政局关于印发《青岛市文化体制改革及媒体融合专项资金管理办法》的通知（青财文〔2019〕2号）中，规定的专项资金支持重点和使用范围；
③项目立项是否与青岛广播电视台的职责范围相符，属于部门履职所需；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</si>
  <si>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①将项目绩效目标细化分解为具体的绩效指标；
②指标值清晰、可衡量；
③指标值与国有文化资产管理委员会办公室下发的年度重点工作任务相对应，与青岛广播电视台和市委宣传部签订的任务书相对应。
3项各占1/3权重分，每有一项不满足，则扣除相应权重分。</t>
  </si>
  <si>
    <t>2019、2020年青岛广播电视台各项目预算资金是否按照计划执行，用以反映或考核各项目预算执行情况。各项目预算执行率=（实际支出金额/实际到位资金）×100%。</t>
  </si>
  <si>
    <t>详情见青岛广播电视台产出及效益绩效汇总表</t>
  </si>
  <si>
    <t>营业总收入平均增长率</t>
  </si>
  <si>
    <t>2020年青岛广播电视台营业总收入平均增长率。</t>
  </si>
  <si>
    <t>2020年青岛广播电视台营业总收入平均增长率≥2%，得满分，否则每降低1个百分点，扣5分，扣完为止。</t>
  </si>
  <si>
    <t>重大活动主题报道数</t>
  </si>
  <si>
    <t>考察青岛广播电视台为重大活动推出的主题活动报道数量。</t>
  </si>
  <si>
    <t>≥12组</t>
  </si>
  <si>
    <t>2020年青岛广播电视台为重大活动推出的主题活动报道数量≥12组，得满分，否则，每降低1个百分点，扣5分，扣完为止。</t>
  </si>
  <si>
    <t>“蓝睛”客户端的媒体关注度</t>
  </si>
  <si>
    <t>考察媒体对于“蓝睛”新媒体平台的媒体关注度。</t>
  </si>
  <si>
    <t>获得一次国家级媒体报道，得满分，否则，不得分。</t>
  </si>
  <si>
    <t>山东省内“蓝睛”微博影响力</t>
  </si>
  <si>
    <t>考察在山东省内“蓝睛”微博端影响力情况，山东省内“蓝睛”微博端影响力在前10名内。</t>
  </si>
  <si>
    <t>考察在山东省内“蓝睛”微博端影响力情况，山东省内“蓝睛”微博端影响力在前10名内，得满分，否则，不得分。</t>
  </si>
  <si>
    <t>“回澜听涛”微信公众号发表原创文章数</t>
  </si>
  <si>
    <t>考察“回澜听涛”微信公众号发表原创文章数。</t>
  </si>
  <si>
    <t>≥300篇</t>
  </si>
  <si>
    <t>“回澜听涛”微信公众号发表原创文章数≥300篇，得满分，否则，每降低1个百分点，扣5分，扣完为止。</t>
  </si>
  <si>
    <t>在上级栏目发稿任务完成率</t>
  </si>
  <si>
    <t>发稿任务完成率=实际发稿数量/任务发稿数量</t>
  </si>
  <si>
    <t>100%%</t>
  </si>
  <si>
    <t>发稿任务完成率达100%，得满分，否则，每降低1个百分点，扣5分，扣完为止。</t>
  </si>
  <si>
    <t>舆论监督落实情况</t>
  </si>
  <si>
    <t>考察青岛广播电视台深化新闻舆论监督落实情况。</t>
  </si>
  <si>
    <t>推出相关节目进行舆论监督，得满分，否则，酌情减分。</t>
  </si>
  <si>
    <t>附表5-2</t>
  </si>
  <si>
    <t>青岛广播电视台产出及效益绩效汇总表</t>
  </si>
  <si>
    <t>一级指标</t>
  </si>
  <si>
    <t>2020年青岛广播电视台春节联欢晚会</t>
  </si>
  <si>
    <t>时效指标</t>
  </si>
  <si>
    <t>晚会完成时效</t>
  </si>
  <si>
    <t>考察2020年青岛广播电视台春节联欢晚会完成时效</t>
  </si>
  <si>
    <t>2020年2月前</t>
  </si>
  <si>
    <t>2020年青岛市广播电视台春节联欢晚会播放量与2019年相比，每降低1个百分点，扣5%权重，扣完为止。</t>
  </si>
  <si>
    <t>晚会观看人数</t>
  </si>
  <si>
    <t>考察2020年青岛广播电视台春节联欢晚会观看人数。</t>
  </si>
  <si>
    <t>100万人次</t>
  </si>
  <si>
    <t>2020年青岛广播电视台春节联欢晚会观看人数≥100万人次，得满分，否则，每降低1个百分点，扣5%权重，扣完为止。</t>
  </si>
  <si>
    <t>播出媒介及频次</t>
  </si>
  <si>
    <t>是否在QTV1、QTV5、蓝睛等滚动播出</t>
  </si>
  <si>
    <t>多渠道滚动播出</t>
  </si>
  <si>
    <t>2020年春节联欢晚会多渠道滚动播出，得满分，否则，相应扣分。</t>
  </si>
  <si>
    <t>2020年《中国青岛》城市形象片补拍修改</t>
  </si>
  <si>
    <t>视频质量</t>
  </si>
  <si>
    <t>补拍视频视频格式为ProRes422高清标准。</t>
  </si>
  <si>
    <t>ProRes422高清标准</t>
  </si>
  <si>
    <t>补拍宣传片视频格式为ProRes422，得满分，否则，不得分。</t>
  </si>
  <si>
    <t>完成时间</t>
  </si>
  <si>
    <t>城市形象片补拍于2020年11月底前完成。</t>
  </si>
  <si>
    <t>2020年11月底前</t>
  </si>
  <si>
    <t>城市形象片补拍于2020年11月底前完成，得满分。补拍于2020年12月底前完成，得5分。补拍于2021年完成，不得分。</t>
  </si>
  <si>
    <t>市重要活动播放次数</t>
  </si>
  <si>
    <t>对《中国青岛》城市形象片进行补拍，考察补拍后的城市形象片在市重要活动上播放次数。</t>
  </si>
  <si>
    <t>≥5次</t>
  </si>
  <si>
    <t>补拍后的《中国青岛》城市形象片在市重要活动播放次数≥5次，得满分，否则按比例扣分。</t>
  </si>
  <si>
    <t>2020年青岛最动听原创音乐扶持计划</t>
  </si>
  <si>
    <t>推选优秀原创乐队及音乐作品数</t>
  </si>
  <si>
    <t>考察推选出的优秀原创乐队及优秀原创音乐作品数量。推选出12支优秀原创乐队及12首优秀原创音乐作品。</t>
  </si>
  <si>
    <t>12支</t>
  </si>
  <si>
    <t>推选出的优秀原创乐队及优秀原创音乐作品与计划数相比，每缺少一个，扣5%权重，扣完为止。</t>
  </si>
  <si>
    <t>推送成果达标率</t>
  </si>
  <si>
    <t>考察2020年青岛最动听原创音乐扶持优秀乐队及作品质量。</t>
  </si>
  <si>
    <t>2020年青岛最动听原创音乐扶持优秀乐队及作品质量100%，得满分，每降低1个百分点，扣5%权重，扣完为止。</t>
  </si>
  <si>
    <t>挖掘优秀原创作品</t>
  </si>
  <si>
    <t>考察2020年青岛最动听挖掘优秀原创作品数量</t>
  </si>
  <si>
    <t>100首</t>
  </si>
  <si>
    <t>2020年青岛最动听原创音乐挖掘优秀原创作品100首，得满分，每降低1个百分点，扣5%权重，扣完为止。</t>
  </si>
  <si>
    <t>可持续影响</t>
  </si>
  <si>
    <t>作品持续在腾讯音乐播放</t>
  </si>
  <si>
    <t>考察2020年青岛最动听作品在平台的播放时限</t>
  </si>
  <si>
    <t>3年</t>
  </si>
  <si>
    <t>作品持续在腾讯音乐播放3年得满分，每降低1个百分点，扣5%权重，扣完为止。</t>
  </si>
  <si>
    <t>2020年大型政论片《青春之岛》</t>
  </si>
  <si>
    <t>拍摄集数</t>
  </si>
  <si>
    <t>考察政论片《青春之岛》拍摄集数。</t>
  </si>
  <si>
    <t>4集</t>
  </si>
  <si>
    <t>政论片《青春之岛》拍摄数量为4集，得满分，否则按比例扣分。</t>
  </si>
  <si>
    <t>单集时长</t>
  </si>
  <si>
    <t>考察政论片《青春之岛》的单集时长。</t>
  </si>
  <si>
    <t>≥20分钟</t>
  </si>
  <si>
    <t>政论片《青春之岛》每集时间≥20分钟，得满分，否则，不得分。</t>
  </si>
  <si>
    <t>新媒体平台点击量</t>
  </si>
  <si>
    <t>政论片拍摄完成后，上线蓝睛客户端点击量超过500万。上线其他新媒体端点击播放量超过1000万。</t>
  </si>
  <si>
    <t>蓝睛点击量超过500万，其他新媒体端播放量超过1000万。</t>
  </si>
  <si>
    <t>政论片上线后在蓝睛及其他新媒体平台点击量与计划数相比，每降低1个百分点，扣5%权重，扣完为止。</t>
  </si>
  <si>
    <t>《青春之岛》获奖情况</t>
  </si>
  <si>
    <t>考察政论片实际获奖情况。</t>
  </si>
  <si>
    <t>获得山东省、中国新闻奖至少一项</t>
  </si>
  <si>
    <t>政论片获得山东省新闻奖、中国新闻奖至少一项，得满分，否则，不得分。</t>
  </si>
  <si>
    <t>绩效目标暂时无法考核</t>
  </si>
  <si>
    <t>2020年摄制“青岛地区中共红色教育基地（遗址）系列”</t>
  </si>
  <si>
    <t>节目集数</t>
  </si>
  <si>
    <t>考察“青岛地区中共红色教育基地（遗址）系列”节目拍摄集数。</t>
  </si>
  <si>
    <t>12集</t>
  </si>
  <si>
    <t>“青岛地区中共红色教育基地（遗址）系列”节目拍摄数量为12集，得满分，否则按比例扣分。</t>
  </si>
  <si>
    <t>获奖情况</t>
  </si>
  <si>
    <t>考察“青岛地区中共红色教育基地（遗址）系列”节目实际获奖情况。</t>
  </si>
  <si>
    <t>获得业内省级一等奖</t>
  </si>
  <si>
    <t>节目获得业内省级一等奖，得满分，否则，不得分。</t>
  </si>
  <si>
    <t>新媒体点击量</t>
  </si>
  <si>
    <t>考察节目播出之后在蓝睛等新媒体网络点击总量情况。</t>
  </si>
  <si>
    <t>≥300万人次</t>
  </si>
  <si>
    <t>“青岛地区中共红色教育基地（遗址）系列”节目上线后在蓝睛及其他新媒体平台点击量≥300万人次，得满分，否则每降低1个百分点，扣5%权重，扣完为止。</t>
  </si>
  <si>
    <t>红色教育宣传情况</t>
  </si>
  <si>
    <t>考察节目对于红色教育宣传渠道的多元化程度。</t>
  </si>
  <si>
    <t>节目走进100座校园和100个社区。</t>
  </si>
  <si>
    <t>节目走进100座校园和100个社区，得满分，否则，按比例得分。</t>
  </si>
  <si>
    <t>完成进校园49次，进社区46次</t>
  </si>
  <si>
    <t>2020年“爱青岛”APP6.0迭代项目</t>
  </si>
  <si>
    <t>主流市场下载总量</t>
  </si>
  <si>
    <t>考察“爱青岛”APP新版上线之后，在各主流应用市场上下载总量。</t>
  </si>
  <si>
    <t>≥400万次</t>
  </si>
  <si>
    <t>“爱青岛”APP新版上线后，在各主流应用市场上下载总量≥400万次，得满分，否则每降低1个百分点，扣5%权重，扣完为止。</t>
  </si>
  <si>
    <t>考察“爱青岛”APP6.0版获奖情况。</t>
  </si>
  <si>
    <t>获得山东省新闻奖或融合传播奖等政府奖1个</t>
  </si>
  <si>
    <t>“爱青岛”APP获得山东省新闻奖或融合传播奖等政府奖，得满分，否则，不得分。</t>
  </si>
  <si>
    <t>考察迭代后“爱青岛”APP独立完成年度创收情况。</t>
  </si>
  <si>
    <t>≥1000万元</t>
  </si>
  <si>
    <t>新版“爱青岛”APP独立完成的年度收入≥1000万元，得满分，否则每降低1个百分点，扣5%权重，扣完为止。</t>
  </si>
  <si>
    <t>客户端人数</t>
  </si>
  <si>
    <t>考察“爱青岛”APP新版上线之后客户端人数。</t>
  </si>
  <si>
    <t>≥220万人</t>
  </si>
  <si>
    <t>“爱青岛”APP新版上线后，客户端人数≥220万人，得满分，否则每降低1个百分点，扣5%权重，扣完为止。</t>
  </si>
  <si>
    <t>7</t>
  </si>
  <si>
    <t>2020年青岛市广播电视台超高清融媒体新闻直播车一期建设项目</t>
  </si>
  <si>
    <t>购置设备</t>
  </si>
  <si>
    <t>考察直播车建设项目所需设备购买数量完成情况。</t>
  </si>
  <si>
    <t>1批次</t>
  </si>
  <si>
    <t>拍摄车、视音频、卫星传输等设备</t>
  </si>
  <si>
    <t>设备到货验收达标率</t>
  </si>
  <si>
    <t>考察直播车建设项目所需设备到货后验收达标率。</t>
  </si>
  <si>
    <t>直播车建设项目所需设备到货后验收达标率为100%，得满分，否则，不得分。</t>
  </si>
  <si>
    <t>全年直播量</t>
  </si>
  <si>
    <t>考察利用超高清融媒体直播车全年进行直播的次数。</t>
  </si>
  <si>
    <t>≥20场</t>
  </si>
  <si>
    <t>2020年实际使用超高清融媒体新闻直播车的直播次数≥20场，得满分，否则按比例扣分。</t>
  </si>
  <si>
    <t>设备尚未投入使用，暂按1半分</t>
  </si>
  <si>
    <t>重大活动、重大新闻事件点击量</t>
  </si>
  <si>
    <t>考察利用超高清融媒体直播，对重大活动、重大新闻事件进行的报道的点击量。</t>
  </si>
  <si>
    <t>达到100万</t>
  </si>
  <si>
    <t>重大活动、新闻事件实际点击量≥100万，得满分，否则，每降低1个百分点，扣5%权重，扣完为止。</t>
  </si>
  <si>
    <t>超高清融媒体新闻直播车将提升超高清节目的制作能力，实现经济创收，力争实现年度经济创收300万元。</t>
  </si>
  <si>
    <t>使用超高清融媒体新闻直播车实现的年度收入与计划数比较，每降低1个百分点，扣5%权重，扣完为止。</t>
  </si>
  <si>
    <t>8</t>
  </si>
  <si>
    <t>2020年青岛市广播电视台蓝睛全媒体直播及传输系统项目</t>
  </si>
  <si>
    <t>设备购置数量</t>
  </si>
  <si>
    <t>考察蓝睛全媒体直播及传输系统项目所购置设备数量。</t>
  </si>
  <si>
    <t>录像机12台、驱动器等配件11台</t>
  </si>
  <si>
    <t>蓝睛全媒体直播及传输系统项目实际所购置设备数量达到计划数，得满分，否则，按比例扣分。</t>
  </si>
  <si>
    <t>考察蓝睛全媒体直播及传输系统项目所需设备到货后验收达标率。</t>
  </si>
  <si>
    <t>考察使用蓝睛全媒体制播及传输系统全年完成的直播量。</t>
  </si>
  <si>
    <t>≥720期</t>
  </si>
  <si>
    <t>2020年实际使用蓝睛全媒体制播及传输系统的直播次数≥720期，得满分，否则每降低1个百分点，扣5%权重，扣完为止。</t>
  </si>
  <si>
    <t>9</t>
  </si>
  <si>
    <t>2020年智慧传播引擎应用项目</t>
  </si>
  <si>
    <t>超级APP应用接入服务数量</t>
  </si>
  <si>
    <t>考察超级APP应用接入服务数量。</t>
  </si>
  <si>
    <t>2-4家</t>
  </si>
  <si>
    <t>超级APP应用接入服务数量达到计划数得满分，否则，按比例扣分。</t>
  </si>
  <si>
    <t>用户传播有效率</t>
  </si>
  <si>
    <t>考察用户传播有效率。</t>
  </si>
  <si>
    <t>≥80%</t>
  </si>
  <si>
    <t>用户传播有效率≥80%，得满分，否则，每降低1个百分点，扣5%权重，扣完为止。</t>
  </si>
  <si>
    <t>项目合作情况</t>
  </si>
  <si>
    <t>考察智慧传播引擎应用项目与央视合作情况</t>
  </si>
  <si>
    <t>同央视签订超级APP战略合作协议</t>
  </si>
  <si>
    <t>同央视签订超级APP战略合作协议，提升合作关系，得满分，否则，酌情减分。</t>
  </si>
  <si>
    <t>平台用户活跃度PV、UV</t>
  </si>
  <si>
    <t>平台用户活跃度PV，即平台建成后，平台被浏览的总次数达到50万/天。平台用户活跃度UV ，即平台建成后，访问平台的独立用户数达到10万/天。</t>
  </si>
  <si>
    <t>50万/天</t>
  </si>
  <si>
    <t>平台建成后用户活跃度PV、UV值与计划数比较，每降低1个百分点，扣5%权重，扣完为止。</t>
  </si>
  <si>
    <t>平台内交易额</t>
  </si>
  <si>
    <t>考察智慧引擎应用平台建成后，平台内发生的交易额。</t>
  </si>
  <si>
    <t>1000万</t>
  </si>
  <si>
    <t>智慧引擎应用平台建成后，平台内交易额≥1000万，得满分，否则每减降低1个百分点，扣5%权重，扣完为止。</t>
  </si>
  <si>
    <t>10</t>
  </si>
  <si>
    <t>2019年“蓝睛”全媒体直播系统项目</t>
  </si>
  <si>
    <t>在央视、央广、省级媒体发稿量</t>
  </si>
  <si>
    <t>考察是否按计划在央视、央广、省级媒体发稿量第一</t>
  </si>
  <si>
    <t>第一</t>
  </si>
  <si>
    <t>按计划在央视、央广、省级媒体发稿量第一，得满分，否则酌情扣分。</t>
  </si>
  <si>
    <t>全网点击量</t>
  </si>
  <si>
    <t>考察通过对重大活动、重大新闻事件进行全媒体融合直播的全网点击量</t>
  </si>
  <si>
    <t>≥10万次</t>
  </si>
  <si>
    <t>2019年全年对重大活动、重大新闻事件的直播全网点击量≥10万次，得满分，否则每降低1个百分点，扣5%权重，扣完为止。</t>
  </si>
  <si>
    <t>考察利用“蓝睛”全媒体直播平台全年进行直播的总量。</t>
  </si>
  <si>
    <t>2019年全年利用蓝睛实现全媒体直播次数≥20场，得满分，否则每降低1个百分点，扣5%权重，扣完为止。</t>
  </si>
  <si>
    <t>加强精品创作，获得年度省级一等奖以上奖励、国家级大奖情况</t>
  </si>
  <si>
    <t>考察加强精品创作情况，是否按计划实现年度省级一等奖以上奖励10件以上并力争实现有作品斩获国家级大奖</t>
  </si>
  <si>
    <t>加强</t>
  </si>
  <si>
    <t>实现年度省级一等奖以上奖励10件以上并有作品斩获国家级大奖，得满分，否则酌情扣分。</t>
  </si>
  <si>
    <t>打造蓝睛新媒体矩阵，推进MCN模式</t>
  </si>
  <si>
    <t>考察是否完成MCN模式。</t>
  </si>
  <si>
    <t>完成</t>
  </si>
  <si>
    <t>完成MCN模式，得满分，否则酌情扣分。</t>
  </si>
  <si>
    <t>11</t>
  </si>
  <si>
    <t>2019年适应媒体融合环境下的广电转播制作系统升级改造项目</t>
  </si>
  <si>
    <t>节目录制场次</t>
  </si>
  <si>
    <t>考察设备更新改造完成后，利用高清电视转播车每年完成节目录制场次数。</t>
  </si>
  <si>
    <t>≥150场</t>
  </si>
  <si>
    <t>设备更新改造完成后，每年完成节目录制场次数≥150场，得满分，否则，每降低1个百分点，扣5%权重，扣完为止。</t>
  </si>
  <si>
    <t>停播率</t>
  </si>
  <si>
    <t>考察设备更新改造完成之后，利用高清转播车进行转播的安全播出指标停播率。</t>
  </si>
  <si>
    <t>＜5秒/百小时</t>
  </si>
  <si>
    <t>考察设备更新改造完成之后，安全播出指标停播率＜5秒/百小时，得满分。</t>
  </si>
  <si>
    <t>电视转播、活动直播直接经济效益</t>
  </si>
  <si>
    <t>考察是否按计划实现电视转播、活动直播直接经济效益大于300万</t>
  </si>
  <si>
    <t>300万</t>
  </si>
  <si>
    <t>按计划实现电视转播、活动直播直接经济效益大于300万，得满分，否按比例扣分。</t>
  </si>
  <si>
    <t>年度广播广告吸纳值</t>
  </si>
  <si>
    <t>考察是否按计划实现年度广播广告吸纳值大于3000万</t>
  </si>
  <si>
    <t>3000万</t>
  </si>
  <si>
    <t>按计划实现年度广播广告吸纳值大于3000万，得满分，否按比例扣分。</t>
  </si>
  <si>
    <t>新闻频率在央广平台年发稿排名</t>
  </si>
  <si>
    <t>考察是否按计划实现新闻频率在央广平台年发稿排名同类城市第一</t>
  </si>
  <si>
    <t>按计划实现新闻频率在央广平台年发稿排名同类城市第一，得满分，否按酌情扣分。</t>
  </si>
  <si>
    <t>12</t>
  </si>
  <si>
    <t>2019年广播电视台场区范围内影视剧场、演播室、直播间、机房等温
控系统改造项目</t>
  </si>
  <si>
    <t>项目完成时间</t>
  </si>
  <si>
    <t>温控系统改造项目预计将于2020年10月之前完成验收。</t>
  </si>
  <si>
    <t>2020年10月之前</t>
  </si>
  <si>
    <t>温控系统改造项目于2020年10月底前完成验收，得满分。项目于2020年11月底前完成验收，得15分。项目于2020年11月后完成验收，不得分。</t>
  </si>
  <si>
    <t>温控系统改造合格率</t>
  </si>
  <si>
    <t>考察温控系统改造项目的质量达标情况</t>
  </si>
  <si>
    <t>合格率达100%，则得满分，每降低1个百分点，扣除5%权重分，扣完为止。</t>
  </si>
  <si>
    <t>产出成本</t>
  </si>
  <si>
    <t>温控系统改造成本节约率</t>
  </si>
  <si>
    <t>考察项目的成本控制情况</t>
  </si>
  <si>
    <t>&gt;=0%</t>
  </si>
  <si>
    <t>成本节约率达100%，则得满分，每降低1个百分点，扣除5%权重分，扣完为止。</t>
  </si>
  <si>
    <t>13</t>
  </si>
  <si>
    <t>2019年政策兑现类项目</t>
  </si>
  <si>
    <t>上级下达任务完成率</t>
  </si>
  <si>
    <t>上级下达任务完成率=实际完成任务数/上级下达任务总数</t>
  </si>
  <si>
    <t>任务完成率达100%，则得满分，每降低1个百分点，扣除5%权重分，扣完为止。</t>
  </si>
  <si>
    <t>“发现•青岛”城市定向赛直播期间，线上赛事点击量</t>
  </si>
  <si>
    <t>考核是否按计划在新闻中心蓝睛客户端平台点击量超过70万，全网在线点击量超过200万</t>
  </si>
  <si>
    <t>200万</t>
  </si>
  <si>
    <t>按计划在新闻中心蓝睛客户端平台点击量超过70万，全网在线点击量超过200万，得满分，否则按比例扣分。</t>
  </si>
  <si>
    <t>国际时尚城建设主题宣传550万</t>
  </si>
  <si>
    <t>“发现•青岛”城市定向赛通过网络平台直播情况</t>
  </si>
  <si>
    <t>考察“发现•青岛”城市定向赛是否按计划通过央视新闻+、新华社现场云、人民视频等网络平台进行同步直播。</t>
  </si>
  <si>
    <t>在各网络平台进行同步直播</t>
  </si>
  <si>
    <t>“发现•青岛”城市定向赛按计划通过央视新闻+、新华社现场云、人民视频等网络平台进行同步直播，得满分，否则酌情扣分。</t>
  </si>
  <si>
    <t>《中国•青岛》青岛城市形象片在央视移动网、新华社、人民视频、今日头条、爱奇艺、腾讯、触电等各大新媒体平台的显要位置推荐。</t>
  </si>
  <si>
    <t>考察《中国•青岛》青岛城市形象片是否按计划在央视移动网、新华社、人民视频、今日头条、爱奇艺、腾讯、触电等各大新媒体平台的显要位置推荐。</t>
  </si>
  <si>
    <t>在各大新媒体平台的显要位置推荐</t>
  </si>
  <si>
    <t>《中国•青岛》青岛城市形象片按计划在央视移动网、新华社、人民视频、今日头条、爱奇艺、腾讯、触电等各大新媒体平台的显要位置推荐，得满分，否则酌情扣分。</t>
  </si>
  <si>
    <t>海军节城市形象宣传片140</t>
  </si>
  <si>
    <t>《中国•青岛》青岛城市形象片全网点击量</t>
  </si>
  <si>
    <t>考察《中国•青岛》青岛城市形象片是否按计划，在2019年4月25日前全网点击量超过千万</t>
  </si>
  <si>
    <t>2019年4月25日前全网点击量超过千万</t>
  </si>
  <si>
    <t>《中国•青岛》青岛城市形象片在2019年4月25日前全网点击量超过千万，得满分，否则按比例扣分。</t>
  </si>
  <si>
    <t>《青岛与海军》宣传片全网点击量</t>
  </si>
  <si>
    <t>考察《青岛与海军》宣传片全网点击量是否按计划达到76.1万</t>
  </si>
  <si>
    <t>76.1万</t>
  </si>
  <si>
    <t>《青岛与海军》宣传片全网点击量按计划达到76.1万，得满分，否则按比例扣分。</t>
  </si>
  <si>
    <t>《青岛与海军》宣传片12</t>
  </si>
  <si>
    <t>《市民圆桌会》谈话节目网络平台点击量</t>
  </si>
  <si>
    <t>考察《市民圆桌会》谈话节目是否按计划在网络平台点击量达到100万次。</t>
  </si>
  <si>
    <t>100万次</t>
  </si>
  <si>
    <t>《市民圆桌会》谈话节目按计划在网络平台点击量达到100万次，得满分，否则按比例扣分。</t>
  </si>
  <si>
    <t>举办《市民圆桌会》谈话节目180万</t>
  </si>
  <si>
    <t>参展单位数</t>
  </si>
  <si>
    <t>考察参加艺博会的参展单位数</t>
  </si>
  <si>
    <t>113家</t>
  </si>
  <si>
    <t>艺博会参展单位数达到113家，得满分，否则，每缺少一家，扣5%权重，扣完为止。</t>
  </si>
  <si>
    <t>艺博会550万元</t>
  </si>
  <si>
    <t>媒体广告投放数</t>
  </si>
  <si>
    <t>考察艺博会在各级媒体上投放广告数量。</t>
  </si>
  <si>
    <t>在23家国家级媒体、200家网络媒体、38家线上流媒体进行广告投放</t>
  </si>
  <si>
    <t>艺博会在23家国家级媒体、200家网络媒体、38家线上流媒体进行广告投放，得满分，否则，每缺少一家媒体，扣5%权重，扣完为止。</t>
  </si>
  <si>
    <t>进入决赛的原创音乐及本土原创乐队数</t>
  </si>
  <si>
    <t>考察进入决赛的原创音乐及本土原创乐队数</t>
  </si>
  <si>
    <t>13首原创音乐、5支本土原创乐队进入决赛</t>
  </si>
  <si>
    <t>13首原创音乐、5支本土原创乐队进入决赛，得满分，否则，按比例扣分。</t>
  </si>
  <si>
    <t>原创音乐扶持100万</t>
  </si>
  <si>
    <t>活动进行网络投票的点击量</t>
  </si>
  <si>
    <t>考察活动进行的网络投票点击量</t>
  </si>
  <si>
    <t>≥百万次</t>
  </si>
  <si>
    <t>网络投票点击量达数百万次得满分，否则，每降低1个百分点，扣5%权重，扣完为止。</t>
  </si>
  <si>
    <t>承办活动累计阅读量</t>
  </si>
  <si>
    <t>考察所承办的“2019青岛国际时尚季闭幕系列活动”，累计阅读量。</t>
  </si>
  <si>
    <t>≥3000万</t>
  </si>
  <si>
    <t>所承办的“2019青岛国际时尚季闭幕系列活动”，累计阅读量突破3000万人次，得满分，否则，每降低1个百分点，扣5%权重，扣完为止。</t>
  </si>
  <si>
    <t>考察黄海冲超系列专题片的拍摄集数。</t>
  </si>
  <si>
    <t>3集</t>
  </si>
  <si>
    <t>黄海冲超系列片拍摄集数为3集，得满分，否则，按比例扣分。</t>
  </si>
  <si>
    <t>黄海冲超30万</t>
  </si>
  <si>
    <t>附表5-3</t>
  </si>
  <si>
    <t>青岛广播电视台产出及效益绩效得分计算表</t>
  </si>
  <si>
    <t>比例得分</t>
  </si>
  <si>
    <t>青岛广播电视台春节联欢晚会项目</t>
  </si>
  <si>
    <t>《中国青岛》城市形象片补拍修改项目</t>
  </si>
  <si>
    <t>青岛最动听原创音乐扶持计划项目</t>
  </si>
  <si>
    <t>青岛市广播电视台蓝睛全媒体直播及传输系统项目</t>
  </si>
  <si>
    <t>智慧引擎应用项目</t>
  </si>
  <si>
    <t>“蓝睛”全媒体直播系统项目</t>
  </si>
  <si>
    <t>广播电视台场区范围内影视剧场、演播室、直播间、机房等温
控系统改造项目</t>
  </si>
  <si>
    <t>政策对象类项目</t>
  </si>
  <si>
    <t>附表6-1</t>
  </si>
  <si>
    <t>青岛出版集团文化体制改革及媒体融合发展专项资金绩效评价指标体系</t>
  </si>
  <si>
    <t>①项目立项是否符合《国务院办公厅关于印发文化体制改革中经营性文化事业单位转制为企业和进一步支持文化企业发展两个规定的通知》、中共中央办公厅、国务院办公厅印发《关于加快推进媒体深度融合发展的意见》、《中共中央关于制定国民经济和社会发展第十四个五年规划和二〇三五年远景目标的建议》、《关于加快推进广播电视媒体深度融合发展的意见》等政策
②项目是否属于中共青岛市委宣传部、青岛市财政局关于印发《青岛市文化体制改革及媒体融合专项资金管理办法》的通知（青财文〔2019〕2号）中，规定的专项资金支持重点和使用范围；
③项目立项是否与青岛出版集团的职责范围相符，属于部门履职所需；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</si>
  <si>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①将项目绩效目标细化分解为具体的绩效指标；
②指标值清晰、可衡量；
③指标值与国有文化资产管理委员会办公室下发的年度重点工作任务相对应，与青岛出版集团和市委宣传部签订的任务书相对应。
3项各占1/3权重分，每有一项不满足，则扣除相应权重分。</t>
  </si>
  <si>
    <t>2019、2020年青岛出版集团各项目预算资金是否按照计划执行，用以反映或考核各项目预算执行情况。各项目预算执行率=（实际支出金额/实际到位资金）×100%。</t>
  </si>
  <si>
    <t>画册由于开始不知道使用财政补助，未专账核算，以前都是政府采购</t>
  </si>
  <si>
    <t>未建立项目资金使用管理的信息公开机制</t>
  </si>
  <si>
    <t>未达到公开招标标准的合同如智慧书屋项目中与青岛维京装饰工程有限公司签订的装修合同，金额29万元；与青岛言泽广告有限公司签订的策划服务合同23万元，无供应商选择手续</t>
  </si>
  <si>
    <t>详情见青岛出版集团产出及效益绩效汇总表</t>
  </si>
  <si>
    <t>2020年青岛出版集团营业总收入平均增长率</t>
  </si>
  <si>
    <t>2020年青岛出版集团营业总收入平均增长率≥2%，得满分，否则每降低1个百分点，扣5分，扣完为止。</t>
  </si>
  <si>
    <t>全年出版任务完成率</t>
  </si>
  <si>
    <t xml:space="preserve">考察是否按照青岛市国有文化资产管理委员会办公室《关于下发2020年度重点工作任务的通知》，完成全年出版任务：全年出版新书品种800种以上，出版码洋20亿元以上
</t>
  </si>
  <si>
    <t>全年出版任务完成率为100%，得满分，否则按比例扣分。</t>
  </si>
  <si>
    <t>构筑青版图书品牌核心竞争力情况</t>
  </si>
  <si>
    <t>考察是否按照青岛市国有文化资产管理委员会办公室《关于下发2020年度重点工作任务的通知》，获得市级以上及各级行业类奖项不少于100个，构筑青版图书品牌核心竞争力。</t>
  </si>
  <si>
    <t>获得市级以上及各级行业类奖项不少于100个</t>
  </si>
  <si>
    <t>获得市级以上及各级行业类奖项不少于100个，得满分，否则按比例扣分。</t>
  </si>
  <si>
    <t>重点政治理论读物发行工作完成率</t>
  </si>
  <si>
    <t>考察是否按照青岛市国有文化资产管理委员会办公室《关于下发2020年度重点工作任务的通知》，做好重点政治理论读物发行工作。</t>
  </si>
  <si>
    <t>义务教育阶段学生课前到书人手一册任务完成率</t>
  </si>
  <si>
    <t>考察是否按照青岛市国有文化资产管理委员会办公室《关于下发2020年度重点工作任务的通知》，完成义务教育阶段学生课前到书人手一册政治任务</t>
  </si>
  <si>
    <t>重大主题宣传完成率</t>
  </si>
  <si>
    <t>考察是否按照青岛市国有文化资产管理委员会办公室《关于下发2020年度重点工作任务的通知》，围绕“疫情防控和复工复产”“打好15个攻势”“学深圳赶深圳”“打造世界工业互联网之都”“上合示范区建设”等重大主题，策划推出重大主题报道，实行报网微端全媒体传播，努力将经济报道做出特色，为全市经济社会发展营造良好舆论氛围</t>
  </si>
  <si>
    <t>首页传媒客户端上线运营情况</t>
  </si>
  <si>
    <t>考察是否按照青岛市国有文化资产管理委员会办公室《关于下发2020年度重点工作任务的通知》，首页传媒客户端上线运营</t>
  </si>
  <si>
    <t>首页传媒客户端上线运营</t>
  </si>
  <si>
    <t>首页传媒客户端上线运营，得满分，否则酌情扣分。</t>
  </si>
  <si>
    <t>附表6-2</t>
  </si>
  <si>
    <t>2020年青岛出版集团重大资产重组贷款及债券贴息项目</t>
  </si>
  <si>
    <t>贷款利息支付率</t>
  </si>
  <si>
    <t>考核债券及贷款利息支付是否及时，是否存在利息支付违约的情况</t>
  </si>
  <si>
    <t>债券及贷款利息及时支付，得满分；出现一次利息支付违约的情况，扣5分，扣完为止。</t>
  </si>
  <si>
    <t>集团利润总额</t>
  </si>
  <si>
    <t>考核青岛出版集团重大资产重组完成后，利用上市公司平台背景，利润增长情况</t>
  </si>
  <si>
    <t>增长4%</t>
  </si>
  <si>
    <t>2020年集团利润总额增长率≥4%，得满分，每降低0.1个百分点，扣1分，扣完为止。</t>
  </si>
  <si>
    <t>集团营业总收入</t>
  </si>
  <si>
    <t>考核青岛出版集团重大资产重组完成后，利用上市公司平台背景，收入增长情况</t>
  </si>
  <si>
    <t>2020年集团收入总额增长率≥4%，得满分，每降低0.1个百分点，扣1分，扣完为止。</t>
  </si>
  <si>
    <t>国有资产保值增值率</t>
  </si>
  <si>
    <t>考核青岛出版集团重大资产重组完成后，利用上市公司平台背景，国有资产保值增值情况</t>
  </si>
  <si>
    <t>增长1%</t>
  </si>
  <si>
    <t>2020年集团国有资产保值增值率≥4%，得满分，每降低0.1个百分点，扣1分，扣完为止。</t>
  </si>
  <si>
    <t>立足主业发展</t>
  </si>
  <si>
    <t>推出一批入选国家重点出版项目、在全国有影响力的青版图书</t>
  </si>
  <si>
    <t>依据国家重点出版物规划项目入选情况，完成情况；国家级资金资助项目获得情况，完成情况；其他资金资助项目获得情况，完成情况得分。</t>
  </si>
  <si>
    <t>国有资产保值增值</t>
  </si>
  <si>
    <t>2020年集团国有资产保值增值率≥1%，得满分，每降低0.1个百分点，扣1分，扣完为止。</t>
  </si>
  <si>
    <t>信用评级情况</t>
  </si>
  <si>
    <t>考察2019年信用评级是否为AA</t>
  </si>
  <si>
    <t>2019年信用评级AA</t>
  </si>
  <si>
    <t>2019年信用评级为AA，得满分，否则酌情扣分。</t>
  </si>
  <si>
    <t>2019年，集团共有《中国江河流域自然与人文遗产影像档案·黄河》《中国改革开放通史（1978-2018）》《中国恐龙足迹化石图谱》3种图书入选年度国家出版基金项目。其中，《中国恐龙足迹化石图谱》《中国江河流域自然与人文遗产影像档案·黄河》已正式出版，《中国改革开放通史（1978-2018）》计划于“十三五”期间出版完成，项目单位反馈，由于出版审核单位尚未审核完毕，截止目前尚未出版完成</t>
  </si>
  <si>
    <t>2019年市办实事项目、2020年文化创意产业项目补助资金（“乐读”社区书店项目）</t>
  </si>
  <si>
    <t>智慧书屋智慧书亭建设完成率</t>
  </si>
  <si>
    <t>考察是否按要求在2019年铺设“共享智慧书屋”10处、“共享智慧书亭”90处</t>
  </si>
  <si>
    <t>按要求在2019年铺设“共享智慧书屋”10处、“共享智慧书亭”90处，得满分，否则每减少1处共享书屋（书亭）扣10%权重，扣完为止。</t>
  </si>
  <si>
    <t>图书通借通还率</t>
  </si>
  <si>
    <t>考察书屋、书亭RFID技术稳定性，通借通还率能否达到100%</t>
  </si>
  <si>
    <t>考察书屋、书亭RFID技术稳定性，通借通还率达到100%，得满分，否则按比例扣分。</t>
  </si>
  <si>
    <t>考察是否按计划在2019年12月底前完成</t>
  </si>
  <si>
    <t>2019年12月底前</t>
  </si>
  <si>
    <t>按计划在2019年12月底前完成，得满分，否则酌情扣分。</t>
  </si>
  <si>
    <t>2019年借阅总量</t>
  </si>
  <si>
    <t>考察是否按计划在2019年借阅总量达到4万册</t>
  </si>
  <si>
    <t>4万册</t>
  </si>
  <si>
    <t>在2019年借阅总量达到4万册，得满分，否则按比例扣分。</t>
  </si>
  <si>
    <t>2019年新增粉丝数量</t>
  </si>
  <si>
    <t>考察是否按计划在2019年新增粉丝5万人</t>
  </si>
  <si>
    <t>5万人</t>
  </si>
  <si>
    <t>2019年新增粉丝5万人，得满分，否则按比例扣分。</t>
  </si>
  <si>
    <t>2019年大活动宣传项目</t>
  </si>
  <si>
    <t>《中国青岛2019》（七语种）、《青岛》中型画册、城市主题纪念册3个项目产出数量</t>
  </si>
  <si>
    <t>考察是否按要求完成出版，其中：《中国青岛2019》（七语种）31000册（中文版10000册，英文版10000册，法文版3000册，俄文版3000册，德文版1000册，日文版1000册，韩文版3000册），《青岛》中型画册2000册，制作城市主题纪念册10000套。</t>
  </si>
  <si>
    <t>《中国青岛2019》（七语种）31000册（中文版10000册，英文版10000册，法文版3000册，俄文版3000册，德文版1000册，日文版1000册，韩文版3000册），《青岛》中型画册2000册，制作城市主题纪念册10000套。</t>
  </si>
  <si>
    <t>按要求完成出版数量，得满分，否则每1个项目未完成，分数扣34%，扣完为止。</t>
  </si>
  <si>
    <t>完成出版及时率</t>
  </si>
  <si>
    <t>考察是否按要求在2019年4月15日前完成所有项目的出版</t>
  </si>
  <si>
    <t>按要求在2019年4月15日前完成所有项目的出版，得满分；否则每1个项目未及时完成，分数扣34%，扣完为止。</t>
  </si>
  <si>
    <t>附表6-3</t>
  </si>
  <si>
    <t>青岛出版集团产出及效益绩效得分计算表</t>
  </si>
  <si>
    <t>年底支出金额</t>
  </si>
  <si>
    <r>
      <rPr>
        <b/>
        <sz val="11"/>
        <color theme="1"/>
        <rFont val="宋体"/>
        <charset val="134"/>
        <scheme val="minor"/>
      </rPr>
      <t>截止2</t>
    </r>
    <r>
      <rPr>
        <b/>
        <sz val="11"/>
        <color theme="1"/>
        <rFont val="宋体"/>
        <charset val="134"/>
        <scheme val="minor"/>
      </rPr>
      <t>021年6月</t>
    </r>
    <r>
      <rPr>
        <b/>
        <sz val="11"/>
        <color theme="1"/>
        <rFont val="宋体"/>
        <charset val="134"/>
        <scheme val="minor"/>
      </rPr>
      <t>实际支出金额</t>
    </r>
  </si>
  <si>
    <t>截止到2021年6月预算执行率</t>
  </si>
  <si>
    <t>绩效目标不明确</t>
  </si>
  <si>
    <t>预算执行率低</t>
  </si>
  <si>
    <t>未设专账核算</t>
  </si>
  <si>
    <t>资金使用程序不规范</t>
  </si>
  <si>
    <t>资金使用用途不合规(专款专用）</t>
  </si>
  <si>
    <t>招投标情况</t>
  </si>
  <si>
    <t>财政局是否按工作进度拨付资金（2019年要求）</t>
  </si>
  <si>
    <t>资金下达2月内执行率30%，10月底70%，12月底100%（2020年）</t>
  </si>
  <si>
    <t>每半年向市委宣传部报送项目进度、资金使用情况</t>
  </si>
  <si>
    <t>项目财务预决算报告</t>
  </si>
  <si>
    <t>项目绩效自评报告</t>
  </si>
  <si>
    <t>向宣传部提交自评报告及证明材料（2020年）</t>
  </si>
  <si>
    <t>项目进度未达预期</t>
  </si>
  <si>
    <t>未组织项目验收</t>
  </si>
  <si>
    <t>绩效目标未达预期</t>
  </si>
  <si>
    <t xml:space="preserve">  文化芯演艺生态聚合平台板块、云直播及影视制作板块</t>
  </si>
  <si>
    <r>
      <rPr>
        <sz val="11"/>
        <color theme="1"/>
        <rFont val="宋体"/>
        <charset val="134"/>
      </rPr>
      <t xml:space="preserve"> </t>
    </r>
    <r>
      <rPr>
        <sz val="11"/>
        <color theme="1"/>
        <rFont val="宋体"/>
        <charset val="134"/>
      </rPr>
      <t xml:space="preserve"> </t>
    </r>
    <r>
      <rPr>
        <sz val="11"/>
        <color theme="1"/>
        <rFont val="宋体"/>
        <charset val="134"/>
      </rPr>
      <t>艺术培训板块</t>
    </r>
  </si>
  <si>
    <r>
      <rPr>
        <sz val="11"/>
        <color theme="1"/>
        <rFont val="宋体"/>
        <charset val="134"/>
      </rPr>
      <t xml:space="preserve"> </t>
    </r>
    <r>
      <rPr>
        <sz val="11"/>
        <color theme="1"/>
        <rFont val="宋体"/>
        <charset val="134"/>
      </rPr>
      <t xml:space="preserve"> </t>
    </r>
    <r>
      <rPr>
        <sz val="11"/>
        <color theme="1"/>
        <rFont val="宋体"/>
        <charset val="134"/>
      </rPr>
      <t>永安大戏院更名改造和舞美基地板块</t>
    </r>
  </si>
  <si>
    <r>
      <rPr>
        <sz val="11"/>
        <color theme="1"/>
        <rFont val="Tahoma"/>
        <charset val="134"/>
      </rPr>
      <t xml:space="preserve">  </t>
    </r>
    <r>
      <rPr>
        <sz val="11"/>
        <color theme="1"/>
        <rFont val="宋体"/>
        <charset val="134"/>
      </rPr>
      <t>《</t>
    </r>
    <r>
      <rPr>
        <sz val="11"/>
        <color theme="1"/>
        <rFont val="Tahoma"/>
        <charset val="134"/>
      </rPr>
      <t>Live music</t>
    </r>
    <r>
      <rPr>
        <sz val="11"/>
        <color theme="1"/>
        <rFont val="宋体"/>
        <charset val="134"/>
      </rPr>
      <t>》音乐秀板块</t>
    </r>
  </si>
  <si>
    <t>扶持院团发展经费补助</t>
  </si>
  <si>
    <t>离岗人员经费补助</t>
  </si>
  <si>
    <r>
      <rPr>
        <sz val="11"/>
        <color theme="1"/>
        <rFont val="宋体"/>
        <charset val="134"/>
      </rPr>
      <t xml:space="preserve"> </t>
    </r>
    <r>
      <rPr>
        <sz val="11"/>
        <color theme="1"/>
        <rFont val="宋体"/>
        <charset val="134"/>
      </rPr>
      <t xml:space="preserve"> </t>
    </r>
    <r>
      <rPr>
        <sz val="11"/>
        <color theme="1"/>
        <rFont val="宋体"/>
        <charset val="134"/>
      </rPr>
      <t>艺术培训学校</t>
    </r>
  </si>
  <si>
    <r>
      <rPr>
        <sz val="11"/>
        <color theme="1"/>
        <rFont val="宋体"/>
        <charset val="134"/>
      </rPr>
      <t xml:space="preserve"> </t>
    </r>
    <r>
      <rPr>
        <sz val="11"/>
        <color theme="1"/>
        <rFont val="宋体"/>
        <charset val="134"/>
      </rPr>
      <t xml:space="preserve"> </t>
    </r>
    <r>
      <rPr>
        <sz val="11"/>
        <color theme="1"/>
        <rFont val="宋体"/>
        <charset val="134"/>
      </rPr>
      <t>青少年影视</t>
    </r>
  </si>
  <si>
    <r>
      <rPr>
        <sz val="11"/>
        <color theme="1"/>
        <rFont val="宋体"/>
        <charset val="134"/>
      </rPr>
      <t xml:space="preserve"> </t>
    </r>
    <r>
      <rPr>
        <sz val="11"/>
        <color theme="1"/>
        <rFont val="宋体"/>
        <charset val="134"/>
      </rPr>
      <t xml:space="preserve"> </t>
    </r>
    <r>
      <rPr>
        <sz val="11"/>
        <color theme="1"/>
        <rFont val="宋体"/>
        <charset val="134"/>
      </rPr>
      <t>青岛演艺票务综合服务平台建设</t>
    </r>
  </si>
  <si>
    <t>改制国有文艺演出企业发展资金</t>
  </si>
  <si>
    <t>提前离岗人员经费补助</t>
  </si>
  <si>
    <r>
      <rPr>
        <sz val="11"/>
        <color theme="1"/>
        <rFont val="宋体"/>
        <charset val="134"/>
      </rPr>
      <t>文化创意产业项目补助资金（</t>
    </r>
    <r>
      <rPr>
        <sz val="11"/>
        <color theme="1"/>
        <rFont val="Tahoma"/>
        <charset val="134"/>
      </rPr>
      <t>“</t>
    </r>
    <r>
      <rPr>
        <sz val="11"/>
        <color theme="1"/>
        <rFont val="宋体"/>
        <charset val="134"/>
      </rPr>
      <t>乐读</t>
    </r>
    <r>
      <rPr>
        <sz val="11"/>
        <color theme="1"/>
        <rFont val="Tahoma"/>
        <charset val="134"/>
      </rPr>
      <t>”</t>
    </r>
    <r>
      <rPr>
        <sz val="11"/>
        <color theme="1"/>
        <rFont val="宋体"/>
        <charset val="134"/>
      </rPr>
      <t>社区书店项目）</t>
    </r>
  </si>
</sst>
</file>

<file path=xl/styles.xml><?xml version="1.0" encoding="utf-8"?>
<styleSheet xmlns="http://schemas.openxmlformats.org/spreadsheetml/2006/main">
  <numFmts count="10">
    <numFmt numFmtId="44" formatCode="_ &quot;￥&quot;* #,##0.00_ ;_ &quot;￥&quot;* \-#,##0.00_ ;_ &quot;￥&quot;* &quot;-&quot;??_ ;_ @_ "/>
    <numFmt numFmtId="176" formatCode="[$-F800]dddd\,\ mmmm\ dd\,\ yyyy"/>
    <numFmt numFmtId="177" formatCode="_ * #,##0_ ;_ * \-#,##0_ ;_ * &quot;-&quot;??_ ;_ @_ "/>
    <numFmt numFmtId="43" formatCode="_ * #,##0.00_ ;_ * \-#,##0.00_ ;_ * &quot;-&quot;??_ ;_ @_ "/>
    <numFmt numFmtId="42" formatCode="_ &quot;￥&quot;* #,##0_ ;_ &quot;￥&quot;* \-#,##0_ ;_ &quot;￥&quot;* &quot;-&quot;_ ;_ @_ "/>
    <numFmt numFmtId="41" formatCode="_ * #,##0_ ;_ * \-#,##0_ ;_ * &quot;-&quot;_ ;_ @_ "/>
    <numFmt numFmtId="178" formatCode="#,##0.00_ "/>
    <numFmt numFmtId="179" formatCode="0.00_);[Red]\(0.00\)"/>
    <numFmt numFmtId="180" formatCode="0.00_ "/>
    <numFmt numFmtId="181" formatCode="0_);[Red]\(0\)"/>
  </numFmts>
  <fonts count="46">
    <font>
      <sz val="11"/>
      <color theme="1"/>
      <name val="Tahoma"/>
      <charset val="134"/>
    </font>
    <font>
      <sz val="11"/>
      <color theme="1"/>
      <name val="宋体"/>
      <charset val="134"/>
      <scheme val="minor"/>
    </font>
    <font>
      <sz val="11"/>
      <color theme="1"/>
      <name val="Tahoma"/>
      <charset val="134"/>
    </font>
    <font>
      <b/>
      <sz val="11"/>
      <color theme="1"/>
      <name val="宋体"/>
      <charset val="134"/>
      <scheme val="minor"/>
    </font>
    <font>
      <sz val="11"/>
      <color theme="1"/>
      <name val="宋体"/>
      <charset val="134"/>
    </font>
    <font>
      <sz val="11"/>
      <name val="Tahoma"/>
      <charset val="134"/>
    </font>
    <font>
      <sz val="11"/>
      <color rgb="FFFF0000"/>
      <name val="Tahoma"/>
      <charset val="134"/>
    </font>
    <font>
      <b/>
      <sz val="11"/>
      <color theme="1"/>
      <name val="宋体"/>
      <charset val="134"/>
    </font>
    <font>
      <sz val="11"/>
      <color theme="1"/>
      <name val="宋体"/>
      <charset val="134"/>
    </font>
    <font>
      <sz val="11"/>
      <color theme="1"/>
      <name val="宋体"/>
      <charset val="134"/>
    </font>
    <font>
      <b/>
      <sz val="16"/>
      <color theme="1"/>
      <name val="宋体"/>
      <charset val="134"/>
    </font>
    <font>
      <b/>
      <sz val="11"/>
      <color theme="1"/>
      <name val="宋体"/>
      <charset val="134"/>
    </font>
    <font>
      <sz val="12"/>
      <name val="宋体"/>
      <charset val="134"/>
    </font>
    <font>
      <sz val="12"/>
      <color indexed="8"/>
      <name val="宋体"/>
      <charset val="134"/>
    </font>
    <font>
      <sz val="15"/>
      <color theme="1"/>
      <name val="宋体"/>
      <charset val="134"/>
    </font>
    <font>
      <sz val="11"/>
      <name val="宋体"/>
      <charset val="134"/>
    </font>
    <font>
      <b/>
      <sz val="16"/>
      <name val="宋体"/>
      <charset val="134"/>
    </font>
    <font>
      <b/>
      <sz val="11"/>
      <name val="宋体"/>
      <charset val="134"/>
    </font>
    <font>
      <sz val="12"/>
      <color theme="1"/>
      <name val="宋体"/>
      <charset val="134"/>
    </font>
    <font>
      <b/>
      <sz val="16"/>
      <color theme="1"/>
      <name val="仿宋_GB2312"/>
      <charset val="134"/>
    </font>
    <font>
      <sz val="11"/>
      <name val="宋体"/>
      <charset val="134"/>
    </font>
    <font>
      <b/>
      <sz val="10"/>
      <color theme="1"/>
      <name val="宋体"/>
      <charset val="134"/>
    </font>
    <font>
      <sz val="10"/>
      <color theme="1"/>
      <name val="宋体"/>
      <charset val="134"/>
    </font>
    <font>
      <sz val="10"/>
      <name val="宋体"/>
      <charset val="134"/>
    </font>
    <font>
      <u/>
      <sz val="11"/>
      <color rgb="FF0000F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9"/>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176" fontId="0" fillId="0" borderId="0"/>
    <xf numFmtId="42" fontId="25" fillId="0" borderId="0" applyFont="0" applyFill="0" applyBorder="0" applyAlignment="0" applyProtection="0">
      <alignment vertical="center"/>
    </xf>
    <xf numFmtId="0" fontId="27" fillId="8" borderId="0" applyNumberFormat="0" applyBorder="0" applyAlignment="0" applyProtection="0">
      <alignment vertical="center"/>
    </xf>
    <xf numFmtId="0" fontId="31" fillId="10" borderId="1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43" fontId="2" fillId="0" borderId="0" applyFont="0" applyFill="0" applyBorder="0" applyAlignment="0" applyProtection="0">
      <alignment vertical="center"/>
    </xf>
    <xf numFmtId="0" fontId="26" fillId="12" borderId="0" applyNumberFormat="0" applyBorder="0" applyAlignment="0" applyProtection="0">
      <alignment vertical="center"/>
    </xf>
    <xf numFmtId="0" fontId="24" fillId="0" borderId="0" applyNumberFormat="0" applyFill="0" applyBorder="0" applyAlignment="0" applyProtection="0">
      <alignment vertical="center"/>
    </xf>
    <xf numFmtId="9" fontId="2" fillId="0" borderId="0" applyFont="0" applyFill="0" applyBorder="0" applyAlignment="0" applyProtection="0">
      <alignment vertical="center"/>
    </xf>
    <xf numFmtId="0" fontId="28" fillId="0" borderId="0" applyNumberFormat="0" applyFill="0" applyBorder="0" applyAlignment="0" applyProtection="0">
      <alignment vertical="center"/>
    </xf>
    <xf numFmtId="176" fontId="1" fillId="0" borderId="0">
      <alignment vertical="center"/>
    </xf>
    <xf numFmtId="0" fontId="25" fillId="15" borderId="13" applyNumberFormat="0" applyFont="0" applyAlignment="0" applyProtection="0">
      <alignment vertical="center"/>
    </xf>
    <xf numFmtId="0" fontId="26" fillId="14"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14" applyNumberFormat="0" applyFill="0" applyAlignment="0" applyProtection="0">
      <alignment vertical="center"/>
    </xf>
    <xf numFmtId="0" fontId="37" fillId="0" borderId="14" applyNumberFormat="0" applyFill="0" applyAlignment="0" applyProtection="0">
      <alignment vertical="center"/>
    </xf>
    <xf numFmtId="0" fontId="26" fillId="17" borderId="0" applyNumberFormat="0" applyBorder="0" applyAlignment="0" applyProtection="0">
      <alignment vertical="center"/>
    </xf>
    <xf numFmtId="0" fontId="33" fillId="0" borderId="15" applyNumberFormat="0" applyFill="0" applyAlignment="0" applyProtection="0">
      <alignment vertical="center"/>
    </xf>
    <xf numFmtId="0" fontId="26" fillId="18" borderId="0" applyNumberFormat="0" applyBorder="0" applyAlignment="0" applyProtection="0">
      <alignment vertical="center"/>
    </xf>
    <xf numFmtId="0" fontId="39" fillId="20" borderId="16" applyNumberFormat="0" applyAlignment="0" applyProtection="0">
      <alignment vertical="center"/>
    </xf>
    <xf numFmtId="0" fontId="40" fillId="20" borderId="12" applyNumberFormat="0" applyAlignment="0" applyProtection="0">
      <alignment vertical="center"/>
    </xf>
    <xf numFmtId="0" fontId="41" fillId="22" borderId="17" applyNumberFormat="0" applyAlignment="0" applyProtection="0">
      <alignment vertical="center"/>
    </xf>
    <xf numFmtId="0" fontId="27" fillId="23" borderId="0" applyNumberFormat="0" applyBorder="0" applyAlignment="0" applyProtection="0">
      <alignment vertical="center"/>
    </xf>
    <xf numFmtId="0" fontId="26" fillId="6" borderId="0" applyNumberFormat="0" applyBorder="0" applyAlignment="0" applyProtection="0">
      <alignment vertical="center"/>
    </xf>
    <xf numFmtId="0" fontId="30" fillId="0" borderId="11" applyNumberFormat="0" applyFill="0" applyAlignment="0" applyProtection="0">
      <alignment vertical="center"/>
    </xf>
    <xf numFmtId="0" fontId="42" fillId="0" borderId="18" applyNumberFormat="0" applyFill="0" applyAlignment="0" applyProtection="0">
      <alignment vertical="center"/>
    </xf>
    <xf numFmtId="0" fontId="38" fillId="19" borderId="0" applyNumberFormat="0" applyBorder="0" applyAlignment="0" applyProtection="0">
      <alignment vertical="center"/>
    </xf>
    <xf numFmtId="0" fontId="43" fillId="24" borderId="0" applyNumberFormat="0" applyBorder="0" applyAlignment="0" applyProtection="0">
      <alignment vertical="center"/>
    </xf>
    <xf numFmtId="0" fontId="27" fillId="26" borderId="0" applyNumberFormat="0" applyBorder="0" applyAlignment="0" applyProtection="0">
      <alignment vertical="center"/>
    </xf>
    <xf numFmtId="0" fontId="26" fillId="21" borderId="0" applyNumberFormat="0" applyBorder="0" applyAlignment="0" applyProtection="0">
      <alignment vertical="center"/>
    </xf>
    <xf numFmtId="0" fontId="27" fillId="13" borderId="0" applyNumberFormat="0" applyBorder="0" applyAlignment="0" applyProtection="0">
      <alignment vertical="center"/>
    </xf>
    <xf numFmtId="0" fontId="27" fillId="27" borderId="0" applyNumberFormat="0" applyBorder="0" applyAlignment="0" applyProtection="0">
      <alignment vertical="center"/>
    </xf>
    <xf numFmtId="0" fontId="27" fillId="11"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16"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2" borderId="0" applyNumberFormat="0" applyBorder="0" applyAlignment="0" applyProtection="0">
      <alignment vertical="center"/>
    </xf>
    <xf numFmtId="176" fontId="12" fillId="0" borderId="0"/>
    <xf numFmtId="0" fontId="27" fillId="35" borderId="0" applyNumberFormat="0" applyBorder="0" applyAlignment="0" applyProtection="0">
      <alignment vertical="center"/>
    </xf>
    <xf numFmtId="0" fontId="26" fillId="29" borderId="0" applyNumberFormat="0" applyBorder="0" applyAlignment="0" applyProtection="0">
      <alignment vertical="center"/>
    </xf>
    <xf numFmtId="0" fontId="26" fillId="36" borderId="0" applyNumberFormat="0" applyBorder="0" applyAlignment="0" applyProtection="0">
      <alignment vertical="center"/>
    </xf>
    <xf numFmtId="0" fontId="27" fillId="28" borderId="0" applyNumberFormat="0" applyBorder="0" applyAlignment="0" applyProtection="0">
      <alignment vertical="center"/>
    </xf>
    <xf numFmtId="0" fontId="26" fillId="25" borderId="0" applyNumberFormat="0" applyBorder="0" applyAlignment="0" applyProtection="0">
      <alignment vertical="center"/>
    </xf>
    <xf numFmtId="176" fontId="2" fillId="0" borderId="0"/>
  </cellStyleXfs>
  <cellXfs count="368">
    <xf numFmtId="176" fontId="0" fillId="0" borderId="0" xfId="0"/>
    <xf numFmtId="176" fontId="1" fillId="0" borderId="0" xfId="13">
      <alignment vertical="center"/>
    </xf>
    <xf numFmtId="177" fontId="0" fillId="0" borderId="0" xfId="8" applyNumberFormat="1" applyFont="1" applyAlignment="1">
      <alignment horizontal="left"/>
    </xf>
    <xf numFmtId="176" fontId="0" fillId="0" borderId="0" xfId="0" applyAlignment="1">
      <alignment horizontal="center"/>
    </xf>
    <xf numFmtId="43" fontId="0" fillId="0" borderId="0" xfId="8" applyFont="1" applyAlignment="1">
      <alignment horizontal="center"/>
    </xf>
    <xf numFmtId="43" fontId="0" fillId="0" borderId="0" xfId="8" applyFont="1" applyAlignment="1"/>
    <xf numFmtId="10" fontId="0" fillId="0" borderId="0" xfId="11" applyNumberFormat="1" applyFont="1" applyAlignment="1"/>
    <xf numFmtId="10" fontId="2" fillId="0" borderId="0" xfId="11" applyNumberFormat="1" applyFont="1" applyAlignment="1"/>
    <xf numFmtId="177" fontId="3" fillId="0" borderId="1" xfId="8" applyNumberFormat="1" applyFont="1" applyBorder="1" applyAlignment="1">
      <alignment horizontal="left" vertical="center"/>
    </xf>
    <xf numFmtId="176" fontId="3" fillId="0" borderId="1" xfId="13" applyFont="1" applyBorder="1" applyAlignment="1">
      <alignment horizontal="center" vertical="center"/>
    </xf>
    <xf numFmtId="43" fontId="3" fillId="0" borderId="1" xfId="8" applyFont="1" applyBorder="1" applyAlignment="1">
      <alignment horizontal="center" vertical="center" wrapText="1"/>
    </xf>
    <xf numFmtId="43" fontId="3" fillId="0" borderId="1" xfId="8" applyFont="1" applyFill="1" applyBorder="1" applyAlignment="1">
      <alignment horizontal="center" vertical="center" wrapText="1"/>
    </xf>
    <xf numFmtId="10" fontId="3" fillId="0" borderId="1" xfId="11" applyNumberFormat="1" applyFont="1" applyFill="1" applyBorder="1" applyAlignment="1">
      <alignment horizontal="center" vertical="center" wrapText="1"/>
    </xf>
    <xf numFmtId="177" fontId="0" fillId="0" borderId="1" xfId="8" applyNumberFormat="1" applyFont="1" applyBorder="1" applyAlignment="1">
      <alignment horizontal="left"/>
    </xf>
    <xf numFmtId="176" fontId="0" fillId="0" borderId="1" xfId="0" applyBorder="1" applyAlignment="1">
      <alignment horizontal="center" vertical="center" wrapText="1"/>
    </xf>
    <xf numFmtId="176" fontId="0" fillId="0" borderId="1" xfId="0" applyFill="1" applyBorder="1" applyAlignment="1">
      <alignment horizontal="center" vertical="center" wrapText="1"/>
    </xf>
    <xf numFmtId="176" fontId="0" fillId="0" borderId="1" xfId="0" applyFill="1" applyBorder="1" applyAlignment="1">
      <alignment horizontal="left" vertical="center"/>
    </xf>
    <xf numFmtId="43" fontId="0" fillId="0" borderId="1" xfId="8" applyFont="1" applyBorder="1" applyAlignment="1">
      <alignment horizontal="center"/>
    </xf>
    <xf numFmtId="10" fontId="0" fillId="0" borderId="1" xfId="11" applyNumberFormat="1" applyFont="1" applyFill="1" applyBorder="1" applyAlignment="1"/>
    <xf numFmtId="176" fontId="2" fillId="0" borderId="1" xfId="0" applyFont="1" applyFill="1" applyBorder="1" applyAlignment="1">
      <alignment horizontal="left" vertical="center" wrapText="1"/>
    </xf>
    <xf numFmtId="43" fontId="0" fillId="2" borderId="1" xfId="8" applyFont="1" applyFill="1" applyBorder="1" applyAlignment="1">
      <alignment horizontal="center"/>
    </xf>
    <xf numFmtId="43" fontId="0" fillId="0" borderId="1" xfId="8" applyFont="1" applyBorder="1" applyAlignment="1"/>
    <xf numFmtId="10" fontId="0" fillId="2" borderId="1" xfId="11" applyNumberFormat="1" applyFont="1" applyFill="1" applyBorder="1" applyAlignment="1"/>
    <xf numFmtId="176" fontId="2" fillId="0" borderId="1" xfId="0" applyFont="1" applyFill="1" applyBorder="1" applyAlignment="1">
      <alignment horizontal="left" vertical="center"/>
    </xf>
    <xf numFmtId="176" fontId="0" fillId="0" borderId="1" xfId="0" applyFill="1" applyBorder="1" applyAlignment="1">
      <alignment horizontal="left" vertical="center" wrapText="1"/>
    </xf>
    <xf numFmtId="176" fontId="2" fillId="2" borderId="1" xfId="0" applyFont="1" applyFill="1" applyBorder="1" applyAlignment="1">
      <alignment horizontal="left" vertical="center" wrapText="1"/>
    </xf>
    <xf numFmtId="10" fontId="0" fillId="0" borderId="1" xfId="11" applyNumberFormat="1" applyFont="1" applyBorder="1" applyAlignment="1"/>
    <xf numFmtId="176" fontId="4" fillId="2" borderId="1" xfId="0" applyFont="1" applyFill="1" applyBorder="1" applyAlignment="1">
      <alignment horizontal="left" vertical="center" wrapText="1"/>
    </xf>
    <xf numFmtId="176" fontId="4" fillId="0" borderId="1" xfId="0" applyFont="1" applyFill="1" applyBorder="1" applyAlignment="1">
      <alignment horizontal="left" vertical="center" wrapText="1"/>
    </xf>
    <xf numFmtId="176" fontId="0" fillId="2" borderId="1" xfId="0" applyFill="1" applyBorder="1" applyAlignment="1">
      <alignment horizontal="center" vertical="center" wrapText="1"/>
    </xf>
    <xf numFmtId="176" fontId="0" fillId="2" borderId="1" xfId="0" applyFill="1" applyBorder="1" applyAlignment="1">
      <alignment horizontal="left" vertical="center" wrapText="1"/>
    </xf>
    <xf numFmtId="43" fontId="2" fillId="0" borderId="1" xfId="8" applyFont="1" applyBorder="1" applyAlignment="1">
      <alignment horizontal="center"/>
    </xf>
    <xf numFmtId="176" fontId="0" fillId="3" borderId="1" xfId="0" applyFill="1" applyBorder="1" applyAlignment="1">
      <alignment horizontal="center" vertical="center" wrapText="1"/>
    </xf>
    <xf numFmtId="176" fontId="4" fillId="3" borderId="1" xfId="0" applyFont="1" applyFill="1" applyBorder="1" applyAlignment="1">
      <alignment horizontal="left" vertical="center"/>
    </xf>
    <xf numFmtId="43" fontId="0" fillId="3" borderId="1" xfId="8" applyFont="1" applyFill="1" applyBorder="1" applyAlignment="1">
      <alignment horizontal="center"/>
    </xf>
    <xf numFmtId="176" fontId="5" fillId="2" borderId="1" xfId="0" applyFont="1" applyFill="1" applyBorder="1" applyAlignment="1">
      <alignment horizontal="center" vertical="center" wrapText="1"/>
    </xf>
    <xf numFmtId="176" fontId="5" fillId="2" borderId="1" xfId="0" applyFont="1" applyFill="1" applyBorder="1" applyAlignment="1">
      <alignment horizontal="left" vertical="center" wrapText="1"/>
    </xf>
    <xf numFmtId="43" fontId="5" fillId="2" borderId="1" xfId="8" applyFont="1" applyFill="1" applyBorder="1" applyAlignment="1">
      <alignment horizontal="center"/>
    </xf>
    <xf numFmtId="176" fontId="0" fillId="0" borderId="2" xfId="0" applyBorder="1" applyAlignment="1">
      <alignment horizontal="left" vertical="center" wrapText="1"/>
    </xf>
    <xf numFmtId="176" fontId="0" fillId="0" borderId="3" xfId="0" applyBorder="1" applyAlignment="1">
      <alignment horizontal="left" vertical="center" wrapText="1"/>
    </xf>
    <xf numFmtId="176" fontId="0" fillId="0" borderId="4" xfId="0" applyBorder="1" applyAlignment="1">
      <alignment horizontal="left" vertical="center" wrapText="1"/>
    </xf>
    <xf numFmtId="10" fontId="0" fillId="0" borderId="0" xfId="11" applyNumberFormat="1" applyFont="1" applyAlignment="1">
      <alignment horizontal="center"/>
    </xf>
    <xf numFmtId="176" fontId="3" fillId="0" borderId="1" xfId="13" applyFont="1" applyFill="1" applyBorder="1" applyAlignment="1">
      <alignment horizontal="center" vertical="center" wrapText="1"/>
    </xf>
    <xf numFmtId="176" fontId="0" fillId="0" borderId="1" xfId="0" applyBorder="1"/>
    <xf numFmtId="176" fontId="0" fillId="0" borderId="1" xfId="0" applyFill="1" applyBorder="1"/>
    <xf numFmtId="9" fontId="0" fillId="0" borderId="1" xfId="0" applyNumberFormat="1" applyFill="1" applyBorder="1"/>
    <xf numFmtId="9" fontId="0" fillId="0" borderId="1" xfId="11" applyFont="1" applyFill="1" applyBorder="1" applyAlignment="1"/>
    <xf numFmtId="43" fontId="1" fillId="0" borderId="0" xfId="8" applyFont="1">
      <alignment vertical="center"/>
    </xf>
    <xf numFmtId="176" fontId="4" fillId="0" borderId="1" xfId="0" applyFont="1" applyBorder="1"/>
    <xf numFmtId="43" fontId="6" fillId="2" borderId="0" xfId="8" applyFont="1" applyFill="1" applyAlignment="1"/>
    <xf numFmtId="43" fontId="4" fillId="0" borderId="0" xfId="8" applyFont="1" applyAlignment="1"/>
    <xf numFmtId="176" fontId="7" fillId="0" borderId="0" xfId="51" applyFont="1"/>
    <xf numFmtId="176" fontId="8" fillId="0" borderId="0" xfId="51" applyFont="1"/>
    <xf numFmtId="43" fontId="9" fillId="0" borderId="0" xfId="8" applyFont="1" applyAlignment="1"/>
    <xf numFmtId="176" fontId="4" fillId="0" borderId="0" xfId="0" applyFont="1"/>
    <xf numFmtId="176" fontId="10" fillId="0" borderId="5" xfId="51" applyFont="1" applyBorder="1" applyAlignment="1">
      <alignment horizontal="center" vertical="center"/>
    </xf>
    <xf numFmtId="176" fontId="11" fillId="0" borderId="1" xfId="51" applyFont="1" applyBorder="1" applyAlignment="1">
      <alignment horizontal="center" vertical="center"/>
    </xf>
    <xf numFmtId="43" fontId="11" fillId="0" borderId="1" xfId="8" applyFont="1" applyBorder="1" applyAlignment="1">
      <alignment horizontal="center" vertical="center"/>
    </xf>
    <xf numFmtId="176" fontId="11" fillId="0" borderId="1" xfId="51" applyFont="1" applyBorder="1" applyAlignment="1">
      <alignment horizontal="center" vertical="center" wrapText="1"/>
    </xf>
    <xf numFmtId="176" fontId="4" fillId="0" borderId="1" xfId="51" applyFont="1" applyBorder="1" applyAlignment="1">
      <alignment horizontal="center" vertical="center" wrapText="1"/>
    </xf>
    <xf numFmtId="176" fontId="4" fillId="0" borderId="1" xfId="51" applyFont="1" applyFill="1" applyBorder="1" applyAlignment="1">
      <alignment horizontal="center" vertical="center" wrapText="1"/>
    </xf>
    <xf numFmtId="176" fontId="4" fillId="0" borderId="1" xfId="51" applyFont="1" applyFill="1" applyBorder="1" applyAlignment="1">
      <alignment horizontal="left" vertical="center"/>
    </xf>
    <xf numFmtId="43" fontId="4" fillId="0" borderId="1" xfId="8" applyFont="1" applyBorder="1" applyAlignment="1">
      <alignment horizontal="center" vertical="center"/>
    </xf>
    <xf numFmtId="178" fontId="4" fillId="0" borderId="1" xfId="51" applyNumberFormat="1" applyFont="1" applyBorder="1" applyAlignment="1">
      <alignment vertical="center"/>
    </xf>
    <xf numFmtId="176" fontId="4" fillId="0" borderId="1" xfId="51" applyFont="1" applyFill="1" applyBorder="1" applyAlignment="1">
      <alignment horizontal="left" vertical="center" wrapText="1"/>
    </xf>
    <xf numFmtId="176" fontId="11" fillId="0" borderId="6" xfId="51" applyFont="1" applyBorder="1" applyAlignment="1">
      <alignment horizontal="center" vertical="center"/>
    </xf>
    <xf numFmtId="176" fontId="11" fillId="0" borderId="7" xfId="51" applyFont="1" applyBorder="1" applyAlignment="1">
      <alignment horizontal="center" vertical="center"/>
    </xf>
    <xf numFmtId="176" fontId="11" fillId="0" borderId="8" xfId="51" applyFont="1" applyBorder="1" applyAlignment="1">
      <alignment horizontal="center" vertical="center"/>
    </xf>
    <xf numFmtId="43" fontId="11" fillId="0" borderId="1" xfId="8" applyFont="1" applyBorder="1" applyAlignment="1">
      <alignment vertical="center"/>
    </xf>
    <xf numFmtId="179" fontId="11" fillId="0" borderId="1" xfId="51" applyNumberFormat="1" applyFont="1" applyBorder="1" applyAlignment="1">
      <alignment vertical="center"/>
    </xf>
    <xf numFmtId="178" fontId="11" fillId="0" borderId="1" xfId="51" applyNumberFormat="1" applyFont="1" applyBorder="1" applyAlignment="1">
      <alignment vertical="center"/>
    </xf>
    <xf numFmtId="180" fontId="8" fillId="0" borderId="0" xfId="51" applyNumberFormat="1" applyFont="1"/>
    <xf numFmtId="10" fontId="8" fillId="0" borderId="0" xfId="51" applyNumberFormat="1" applyFont="1"/>
    <xf numFmtId="176" fontId="11" fillId="0" borderId="0" xfId="0" applyFont="1" applyAlignment="1">
      <alignment horizontal="center" vertical="center"/>
    </xf>
    <xf numFmtId="176" fontId="11" fillId="0" borderId="0" xfId="0" applyFont="1" applyAlignment="1">
      <alignment horizontal="center" vertical="center" wrapText="1"/>
    </xf>
    <xf numFmtId="43" fontId="4" fillId="0" borderId="0" xfId="8" applyFont="1" applyAlignment="1">
      <alignment horizontal="center" vertical="center"/>
    </xf>
    <xf numFmtId="43" fontId="4" fillId="0" borderId="0" xfId="8" applyFont="1" applyAlignment="1">
      <alignment horizontal="center"/>
    </xf>
    <xf numFmtId="43" fontId="8" fillId="0" borderId="0" xfId="8" applyFont="1" applyAlignment="1"/>
    <xf numFmtId="176" fontId="4" fillId="0" borderId="0" xfId="51" applyFont="1" applyAlignment="1">
      <alignment horizontal="center" vertical="center"/>
    </xf>
    <xf numFmtId="176" fontId="4" fillId="0" borderId="0" xfId="51" applyFont="1" applyAlignment="1">
      <alignment horizontal="left" vertical="center"/>
    </xf>
    <xf numFmtId="176" fontId="4" fillId="0" borderId="0" xfId="51" applyFont="1" applyAlignment="1">
      <alignment vertical="center"/>
    </xf>
    <xf numFmtId="43" fontId="4" fillId="0" borderId="0" xfId="8" applyFont="1" applyAlignment="1">
      <alignment vertical="center"/>
    </xf>
    <xf numFmtId="176" fontId="10" fillId="0" borderId="0" xfId="51" applyFont="1" applyBorder="1" applyAlignment="1">
      <alignment horizontal="center" vertical="center"/>
    </xf>
    <xf numFmtId="176" fontId="11" fillId="4" borderId="1" xfId="51" applyFont="1" applyFill="1" applyBorder="1" applyAlignment="1">
      <alignment horizontal="center" vertical="center" wrapText="1"/>
    </xf>
    <xf numFmtId="43" fontId="11" fillId="4" borderId="1" xfId="8" applyFont="1" applyFill="1" applyBorder="1" applyAlignment="1">
      <alignment horizontal="center" vertical="center" wrapText="1"/>
    </xf>
    <xf numFmtId="176" fontId="4" fillId="0" borderId="2" xfId="51" applyFont="1" applyBorder="1" applyAlignment="1">
      <alignment horizontal="center" vertical="center" wrapText="1"/>
    </xf>
    <xf numFmtId="43" fontId="4" fillId="0" borderId="2" xfId="51" applyNumberFormat="1" applyFont="1" applyBorder="1" applyAlignment="1">
      <alignment horizontal="center" vertical="center" wrapText="1"/>
    </xf>
    <xf numFmtId="43" fontId="4" fillId="0" borderId="1" xfId="8" applyFont="1" applyBorder="1" applyAlignment="1">
      <alignment horizontal="center" vertical="center" wrapText="1"/>
    </xf>
    <xf numFmtId="176" fontId="4" fillId="0" borderId="1" xfId="51" applyFont="1" applyBorder="1" applyAlignment="1">
      <alignment horizontal="left" vertical="center" wrapText="1"/>
    </xf>
    <xf numFmtId="9" fontId="4" fillId="0" borderId="1" xfId="51" applyNumberFormat="1" applyFont="1" applyBorder="1" applyAlignment="1">
      <alignment horizontal="center" vertical="center" wrapText="1"/>
    </xf>
    <xf numFmtId="176" fontId="4" fillId="0" borderId="1" xfId="51" applyFont="1" applyBorder="1" applyAlignment="1">
      <alignment horizontal="justify" vertical="center" wrapText="1"/>
    </xf>
    <xf numFmtId="176" fontId="4" fillId="0" borderId="3" xfId="51" applyFont="1" applyBorder="1" applyAlignment="1">
      <alignment horizontal="center" vertical="center" wrapText="1"/>
    </xf>
    <xf numFmtId="176" fontId="4" fillId="0" borderId="4" xfId="51" applyFont="1" applyBorder="1" applyAlignment="1">
      <alignment horizontal="center" vertical="center" wrapText="1"/>
    </xf>
    <xf numFmtId="176" fontId="4" fillId="0" borderId="2" xfId="51" applyFont="1" applyFill="1" applyBorder="1" applyAlignment="1">
      <alignment horizontal="center" vertical="center" wrapText="1"/>
    </xf>
    <xf numFmtId="43" fontId="4" fillId="0" borderId="2" xfId="51" applyNumberFormat="1" applyFont="1" applyFill="1" applyBorder="1" applyAlignment="1">
      <alignment horizontal="center" vertical="center" wrapText="1"/>
    </xf>
    <xf numFmtId="176" fontId="4" fillId="0" borderId="1" xfId="51" applyFont="1" applyBorder="1" applyAlignment="1">
      <alignment horizontal="center" vertical="center"/>
    </xf>
    <xf numFmtId="176" fontId="4" fillId="0" borderId="3" xfId="51" applyFont="1" applyFill="1" applyBorder="1" applyAlignment="1">
      <alignment horizontal="center" vertical="center" wrapText="1"/>
    </xf>
    <xf numFmtId="176" fontId="12" fillId="0" borderId="9" xfId="51" applyFont="1" applyFill="1" applyBorder="1" applyAlignment="1">
      <alignment horizontal="center" vertical="center" wrapText="1"/>
    </xf>
    <xf numFmtId="176" fontId="13" fillId="0" borderId="9" xfId="51" applyFont="1" applyBorder="1" applyAlignment="1" applyProtection="1">
      <alignment horizontal="center" vertical="center" wrapText="1"/>
    </xf>
    <xf numFmtId="176" fontId="4" fillId="0" borderId="1" xfId="51" applyFont="1" applyBorder="1" applyAlignment="1">
      <alignment vertical="center"/>
    </xf>
    <xf numFmtId="176" fontId="13" fillId="0" borderId="10" xfId="51" applyFont="1" applyBorder="1" applyAlignment="1" applyProtection="1">
      <alignment horizontal="center" vertical="center" wrapText="1"/>
    </xf>
    <xf numFmtId="176" fontId="4" fillId="0" borderId="4" xfId="51" applyFont="1" applyFill="1" applyBorder="1" applyAlignment="1">
      <alignment horizontal="center" vertical="center" wrapText="1"/>
    </xf>
    <xf numFmtId="176" fontId="12" fillId="0" borderId="10" xfId="51" applyFont="1" applyFill="1" applyBorder="1" applyAlignment="1" applyProtection="1">
      <alignment horizontal="center" vertical="center" wrapText="1"/>
    </xf>
    <xf numFmtId="176" fontId="4" fillId="0" borderId="1" xfId="51" applyNumberFormat="1" applyFont="1" applyBorder="1" applyAlignment="1">
      <alignment horizontal="left" vertical="center" wrapText="1"/>
    </xf>
    <xf numFmtId="176" fontId="4" fillId="0" borderId="1" xfId="51" applyFont="1" applyBorder="1" applyAlignment="1">
      <alignment vertical="center" wrapText="1"/>
    </xf>
    <xf numFmtId="43" fontId="11" fillId="0" borderId="1" xfId="51" applyNumberFormat="1" applyFont="1" applyBorder="1" applyAlignment="1">
      <alignment vertical="center" wrapText="1"/>
    </xf>
    <xf numFmtId="176" fontId="11" fillId="0" borderId="1" xfId="51" applyFont="1" applyBorder="1" applyAlignment="1">
      <alignment vertical="center" wrapText="1"/>
    </xf>
    <xf numFmtId="43" fontId="11" fillId="0" borderId="1" xfId="8" applyFont="1" applyBorder="1" applyAlignment="1">
      <alignment horizontal="center" vertical="center" wrapText="1"/>
    </xf>
    <xf numFmtId="176" fontId="11" fillId="0" borderId="1" xfId="51" applyFont="1" applyBorder="1" applyAlignment="1">
      <alignment horizontal="left" vertical="center" wrapText="1"/>
    </xf>
    <xf numFmtId="43" fontId="11" fillId="0" borderId="1" xfId="8" applyFont="1" applyFill="1" applyBorder="1" applyAlignment="1">
      <alignment horizontal="center" vertical="center" wrapText="1"/>
    </xf>
    <xf numFmtId="176" fontId="11" fillId="0" borderId="1" xfId="51" applyFont="1" applyFill="1" applyBorder="1" applyAlignment="1">
      <alignment horizontal="center" vertical="center" wrapText="1"/>
    </xf>
    <xf numFmtId="10" fontId="4" fillId="0" borderId="1" xfId="51" applyNumberFormat="1" applyFont="1" applyBorder="1" applyAlignment="1">
      <alignment horizontal="center" vertical="center" wrapText="1"/>
    </xf>
    <xf numFmtId="176" fontId="14" fillId="0" borderId="0" xfId="51" applyFont="1" applyAlignment="1">
      <alignment horizontal="left" vertical="center"/>
    </xf>
    <xf numFmtId="176" fontId="15" fillId="0" borderId="0" xfId="51" applyFont="1" applyAlignment="1">
      <alignment vertical="center"/>
    </xf>
    <xf numFmtId="176" fontId="15" fillId="0" borderId="0" xfId="51" applyFont="1" applyAlignment="1">
      <alignment horizontal="center" vertical="center"/>
    </xf>
    <xf numFmtId="43" fontId="15" fillId="0" borderId="0" xfId="8" applyFont="1" applyAlignment="1">
      <alignment horizontal="center" vertical="center"/>
    </xf>
    <xf numFmtId="176" fontId="15" fillId="0" borderId="0" xfId="51" applyFont="1" applyAlignment="1">
      <alignment horizontal="left" vertical="center"/>
    </xf>
    <xf numFmtId="43" fontId="15" fillId="0" borderId="0" xfId="8" applyFont="1" applyAlignment="1">
      <alignment vertical="center"/>
    </xf>
    <xf numFmtId="10" fontId="15" fillId="0" borderId="0" xfId="11" applyNumberFormat="1" applyFont="1" applyAlignment="1">
      <alignment vertical="center"/>
    </xf>
    <xf numFmtId="176" fontId="15" fillId="0" borderId="0" xfId="0" applyFont="1"/>
    <xf numFmtId="176" fontId="16" fillId="0" borderId="0" xfId="51" applyFont="1" applyBorder="1" applyAlignment="1">
      <alignment horizontal="center" vertical="center"/>
    </xf>
    <xf numFmtId="176" fontId="17" fillId="4" borderId="1" xfId="51" applyFont="1" applyFill="1" applyBorder="1" applyAlignment="1">
      <alignment horizontal="center" vertical="center" wrapText="1"/>
    </xf>
    <xf numFmtId="43" fontId="17" fillId="4" borderId="1" xfId="8" applyFont="1" applyFill="1" applyBorder="1" applyAlignment="1">
      <alignment horizontal="center" vertical="center" wrapText="1"/>
    </xf>
    <xf numFmtId="176" fontId="15" fillId="0" borderId="1" xfId="51" applyFont="1" applyBorder="1" applyAlignment="1">
      <alignment horizontal="center" vertical="center" wrapText="1"/>
    </xf>
    <xf numFmtId="181" fontId="15" fillId="0" borderId="1" xfId="51" applyNumberFormat="1" applyFont="1" applyBorder="1" applyAlignment="1">
      <alignment horizontal="center" vertical="center" wrapText="1"/>
    </xf>
    <xf numFmtId="176" fontId="15" fillId="0" borderId="1" xfId="51" applyFont="1" applyBorder="1" applyAlignment="1">
      <alignment horizontal="left" vertical="center" wrapText="1"/>
    </xf>
    <xf numFmtId="176" fontId="15" fillId="0" borderId="1" xfId="51" applyFont="1" applyBorder="1" applyAlignment="1">
      <alignment horizontal="justify" vertical="center" wrapText="1"/>
    </xf>
    <xf numFmtId="9" fontId="15" fillId="0" borderId="1" xfId="51" applyNumberFormat="1" applyFont="1" applyBorder="1" applyAlignment="1">
      <alignment horizontal="center" vertical="center" wrapText="1"/>
    </xf>
    <xf numFmtId="176" fontId="15" fillId="0" borderId="2" xfId="51" applyFont="1" applyBorder="1" applyAlignment="1">
      <alignment horizontal="center" vertical="center" wrapText="1"/>
    </xf>
    <xf numFmtId="176" fontId="15" fillId="0" borderId="3" xfId="51" applyFont="1" applyBorder="1" applyAlignment="1">
      <alignment horizontal="center" vertical="center" wrapText="1"/>
    </xf>
    <xf numFmtId="43" fontId="15" fillId="0" borderId="2" xfId="8" applyFont="1" applyBorder="1" applyAlignment="1">
      <alignment horizontal="center" vertical="center" wrapText="1"/>
    </xf>
    <xf numFmtId="176" fontId="15" fillId="0" borderId="6" xfId="51" applyFont="1" applyBorder="1" applyAlignment="1">
      <alignment horizontal="left" vertical="center" wrapText="1"/>
    </xf>
    <xf numFmtId="176" fontId="15" fillId="0" borderId="7" xfId="51" applyFont="1" applyBorder="1" applyAlignment="1">
      <alignment horizontal="left" vertical="center" wrapText="1"/>
    </xf>
    <xf numFmtId="176" fontId="15" fillId="0" borderId="8" xfId="51" applyFont="1" applyBorder="1" applyAlignment="1">
      <alignment horizontal="left" vertical="center" wrapText="1"/>
    </xf>
    <xf numFmtId="43" fontId="15" fillId="0" borderId="4" xfId="8" applyFont="1" applyBorder="1" applyAlignment="1">
      <alignment horizontal="center" vertical="center" wrapText="1"/>
    </xf>
    <xf numFmtId="176" fontId="15" fillId="0" borderId="1" xfId="51" applyFont="1" applyFill="1" applyBorder="1" applyAlignment="1">
      <alignment horizontal="center" vertical="center" wrapText="1"/>
    </xf>
    <xf numFmtId="43" fontId="15" fillId="0" borderId="1" xfId="8" applyFont="1" applyFill="1" applyBorder="1" applyAlignment="1">
      <alignment horizontal="center" vertical="center" wrapText="1"/>
    </xf>
    <xf numFmtId="176" fontId="15" fillId="0" borderId="1" xfId="51" applyFont="1" applyFill="1" applyBorder="1" applyAlignment="1">
      <alignment horizontal="left" vertical="center" wrapText="1"/>
    </xf>
    <xf numFmtId="9" fontId="15" fillId="0" borderId="1" xfId="51" applyNumberFormat="1" applyFont="1" applyBorder="1" applyAlignment="1">
      <alignment horizontal="left" vertical="center" wrapText="1"/>
    </xf>
    <xf numFmtId="176" fontId="15" fillId="0" borderId="4" xfId="51" applyFont="1" applyBorder="1" applyAlignment="1">
      <alignment horizontal="center" vertical="center" wrapText="1"/>
    </xf>
    <xf numFmtId="176" fontId="17" fillId="0" borderId="1" xfId="51" applyFont="1" applyBorder="1" applyAlignment="1">
      <alignment horizontal="center" vertical="center" wrapText="1"/>
    </xf>
    <xf numFmtId="43" fontId="17" fillId="0" borderId="1" xfId="8" applyFont="1" applyBorder="1" applyAlignment="1">
      <alignment horizontal="center" vertical="center" wrapText="1"/>
    </xf>
    <xf numFmtId="176" fontId="17" fillId="0" borderId="1" xfId="51" applyFont="1" applyBorder="1" applyAlignment="1">
      <alignment horizontal="left" vertical="center" wrapText="1"/>
    </xf>
    <xf numFmtId="43" fontId="17" fillId="0" borderId="1" xfId="8" applyFont="1" applyFill="1" applyBorder="1" applyAlignment="1">
      <alignment horizontal="center" vertical="center" wrapText="1"/>
    </xf>
    <xf numFmtId="10" fontId="17" fillId="0" borderId="1" xfId="11" applyNumberFormat="1" applyFont="1" applyFill="1" applyBorder="1" applyAlignment="1">
      <alignment horizontal="center" vertical="center" wrapText="1"/>
    </xf>
    <xf numFmtId="43" fontId="15" fillId="0" borderId="1" xfId="8" applyFont="1" applyBorder="1" applyAlignment="1">
      <alignment horizontal="center" vertical="center" wrapText="1"/>
    </xf>
    <xf numFmtId="10" fontId="15" fillId="0" borderId="1" xfId="11" applyNumberFormat="1" applyFont="1" applyBorder="1" applyAlignment="1">
      <alignment horizontal="center" vertical="center" wrapText="1"/>
    </xf>
    <xf numFmtId="10" fontId="17" fillId="0" borderId="1" xfId="11" applyNumberFormat="1" applyFont="1" applyBorder="1" applyAlignment="1">
      <alignment horizontal="center" vertical="center" wrapText="1"/>
    </xf>
    <xf numFmtId="176" fontId="4" fillId="0" borderId="0" xfId="0" applyFont="1" applyAlignment="1">
      <alignment vertical="center"/>
    </xf>
    <xf numFmtId="43" fontId="4" fillId="0" borderId="1" xfId="8" applyFont="1" applyBorder="1" applyAlignment="1">
      <alignment horizontal="center"/>
    </xf>
    <xf numFmtId="178" fontId="4" fillId="0" borderId="1" xfId="51" applyNumberFormat="1" applyFont="1" applyBorder="1"/>
    <xf numFmtId="179" fontId="4" fillId="0" borderId="1" xfId="51" applyNumberFormat="1" applyFont="1" applyBorder="1"/>
    <xf numFmtId="176" fontId="4" fillId="0" borderId="6" xfId="51" applyFont="1" applyBorder="1" applyAlignment="1">
      <alignment horizontal="center"/>
    </xf>
    <xf numFmtId="176" fontId="4" fillId="0" borderId="7" xfId="51" applyFont="1" applyBorder="1" applyAlignment="1">
      <alignment horizontal="center"/>
    </xf>
    <xf numFmtId="176" fontId="4" fillId="0" borderId="8" xfId="51" applyFont="1" applyBorder="1" applyAlignment="1">
      <alignment horizontal="center"/>
    </xf>
    <xf numFmtId="178" fontId="18" fillId="0" borderId="0" xfId="51" applyNumberFormat="1" applyFont="1" applyBorder="1"/>
    <xf numFmtId="176" fontId="4" fillId="5" borderId="0" xfId="51" applyFont="1" applyFill="1" applyAlignment="1">
      <alignment vertical="center"/>
    </xf>
    <xf numFmtId="179" fontId="4" fillId="0" borderId="0" xfId="51" applyNumberFormat="1" applyFont="1" applyAlignment="1">
      <alignment horizontal="center" vertical="center"/>
    </xf>
    <xf numFmtId="179" fontId="11" fillId="4" borderId="1" xfId="51"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3" fontId="4" fillId="0" borderId="1" xfId="51" applyNumberFormat="1" applyFont="1" applyFill="1" applyBorder="1" applyAlignment="1">
      <alignment horizontal="center" vertical="center" wrapText="1"/>
    </xf>
    <xf numFmtId="179" fontId="4" fillId="0" borderId="1" xfId="51" applyNumberFormat="1" applyFont="1" applyFill="1" applyBorder="1" applyAlignment="1">
      <alignment horizontal="center" vertical="center"/>
    </xf>
    <xf numFmtId="176" fontId="4" fillId="0" borderId="1" xfId="51" applyFont="1" applyFill="1" applyBorder="1" applyAlignment="1">
      <alignment horizontal="left" vertical="center" shrinkToFit="1"/>
    </xf>
    <xf numFmtId="179" fontId="4" fillId="0" borderId="1" xfId="51" applyNumberFormat="1" applyFont="1" applyFill="1" applyBorder="1" applyAlignment="1">
      <alignment horizontal="center" vertical="center" wrapText="1"/>
    </xf>
    <xf numFmtId="9" fontId="4" fillId="0" borderId="1" xfId="51" applyNumberFormat="1" applyFont="1" applyFill="1" applyBorder="1" applyAlignment="1">
      <alignment horizontal="left" vertical="center" wrapText="1"/>
    </xf>
    <xf numFmtId="178" fontId="4" fillId="0" borderId="1" xfId="51" applyNumberFormat="1" applyFont="1" applyFill="1" applyBorder="1" applyAlignment="1">
      <alignment horizontal="right" vertical="center" wrapText="1"/>
    </xf>
    <xf numFmtId="9" fontId="4" fillId="0" borderId="1" xfId="11" applyFont="1" applyFill="1" applyBorder="1" applyAlignment="1" applyProtection="1">
      <alignment horizontal="left" vertical="center" wrapText="1"/>
    </xf>
    <xf numFmtId="176" fontId="4" fillId="0" borderId="1" xfId="51" applyFont="1" applyFill="1" applyBorder="1" applyAlignment="1">
      <alignment horizontal="left" vertical="center"/>
    </xf>
    <xf numFmtId="176" fontId="4" fillId="0" borderId="1" xfId="51" applyFont="1" applyFill="1" applyBorder="1" applyAlignment="1">
      <alignment horizontal="center" vertical="center"/>
    </xf>
    <xf numFmtId="179" fontId="4" fillId="0" borderId="1" xfId="51" applyNumberFormat="1" applyFont="1" applyFill="1" applyBorder="1" applyAlignment="1">
      <alignment horizontal="center" vertical="center"/>
    </xf>
    <xf numFmtId="49" fontId="4" fillId="0" borderId="1" xfId="51" applyNumberFormat="1" applyFont="1" applyBorder="1" applyAlignment="1">
      <alignment horizontal="center" vertical="center" wrapText="1"/>
    </xf>
    <xf numFmtId="179" fontId="4" fillId="0" borderId="1" xfId="51" applyNumberFormat="1" applyFont="1" applyBorder="1" applyAlignment="1">
      <alignment horizontal="center" vertical="center" wrapText="1"/>
    </xf>
    <xf numFmtId="43" fontId="4" fillId="0" borderId="1" xfId="51" applyNumberFormat="1" applyFont="1" applyBorder="1" applyAlignment="1">
      <alignment horizontal="center" vertical="center" wrapText="1"/>
    </xf>
    <xf numFmtId="176" fontId="4" fillId="0" borderId="1" xfId="51" applyFont="1" applyFill="1" applyBorder="1" applyAlignment="1">
      <alignment horizontal="justify" vertical="center" wrapText="1"/>
    </xf>
    <xf numFmtId="43" fontId="4" fillId="0" borderId="1" xfId="8" applyFont="1" applyFill="1" applyBorder="1" applyAlignment="1">
      <alignment horizontal="center" vertical="center" wrapText="1"/>
    </xf>
    <xf numFmtId="10" fontId="4" fillId="0" borderId="1" xfId="51" applyNumberFormat="1" applyFont="1" applyFill="1" applyBorder="1" applyAlignment="1">
      <alignment horizontal="center" vertical="center" wrapText="1"/>
    </xf>
    <xf numFmtId="176" fontId="4" fillId="5" borderId="0" xfId="51" applyFont="1" applyFill="1" applyAlignment="1">
      <alignment vertical="center" wrapText="1"/>
    </xf>
    <xf numFmtId="176" fontId="4" fillId="0" borderId="1" xfId="51" applyFont="1" applyFill="1" applyBorder="1" applyAlignment="1">
      <alignment vertical="center" wrapText="1"/>
    </xf>
    <xf numFmtId="43" fontId="4" fillId="5" borderId="0" xfId="8" applyFont="1" applyFill="1" applyAlignment="1">
      <alignment horizontal="left" vertical="center"/>
    </xf>
    <xf numFmtId="176" fontId="4" fillId="0" borderId="0" xfId="51" applyFont="1" applyAlignment="1">
      <alignment vertical="center" wrapText="1"/>
    </xf>
    <xf numFmtId="176" fontId="11" fillId="0" borderId="7" xfId="51" applyFont="1" applyBorder="1" applyAlignment="1">
      <alignment vertical="center" wrapText="1"/>
    </xf>
    <xf numFmtId="176" fontId="11" fillId="0" borderId="8" xfId="51" applyFont="1" applyBorder="1" applyAlignment="1">
      <alignment vertical="center" wrapText="1"/>
    </xf>
    <xf numFmtId="179" fontId="11" fillId="0" borderId="1" xfId="51" applyNumberFormat="1" applyFont="1" applyBorder="1" applyAlignment="1">
      <alignment horizontal="center" vertical="center" wrapText="1"/>
    </xf>
    <xf numFmtId="179" fontId="15" fillId="0" borderId="0" xfId="51" applyNumberFormat="1" applyFont="1" applyAlignment="1">
      <alignment horizontal="center" vertical="center"/>
    </xf>
    <xf numFmtId="9" fontId="15" fillId="0" borderId="0" xfId="11" applyFont="1" applyAlignment="1">
      <alignment vertical="center"/>
    </xf>
    <xf numFmtId="176" fontId="15" fillId="0" borderId="0" xfId="0" applyFont="1" applyAlignment="1">
      <alignment vertical="center"/>
    </xf>
    <xf numFmtId="179" fontId="17" fillId="4" borderId="1" xfId="51" applyNumberFormat="1" applyFont="1" applyFill="1" applyBorder="1" applyAlignment="1">
      <alignment horizontal="center" vertical="center" wrapText="1"/>
    </xf>
    <xf numFmtId="179" fontId="15" fillId="0" borderId="2" xfId="51" applyNumberFormat="1" applyFont="1" applyBorder="1" applyAlignment="1">
      <alignment horizontal="center" vertical="center" wrapText="1"/>
    </xf>
    <xf numFmtId="179" fontId="15" fillId="0" borderId="4" xfId="51" applyNumberFormat="1" applyFont="1" applyBorder="1" applyAlignment="1">
      <alignment horizontal="center" vertical="center" wrapText="1"/>
    </xf>
    <xf numFmtId="179" fontId="15" fillId="0" borderId="1" xfId="51" applyNumberFormat="1" applyFont="1" applyBorder="1" applyAlignment="1">
      <alignment horizontal="center" vertical="center" wrapText="1"/>
    </xf>
    <xf numFmtId="176" fontId="15" fillId="0" borderId="0" xfId="51" applyFont="1" applyFill="1" applyAlignment="1">
      <alignment horizontal="left" vertical="center"/>
    </xf>
    <xf numFmtId="176" fontId="15" fillId="0" borderId="1" xfId="51" applyFont="1" applyBorder="1" applyAlignment="1">
      <alignment horizontal="center" vertical="center"/>
    </xf>
    <xf numFmtId="176" fontId="15" fillId="0" borderId="1" xfId="51" applyFont="1" applyBorder="1" applyAlignment="1">
      <alignment horizontal="left" vertical="center"/>
    </xf>
    <xf numFmtId="179" fontId="17" fillId="0" borderId="1" xfId="51" applyNumberFormat="1" applyFont="1" applyBorder="1" applyAlignment="1">
      <alignment horizontal="center" vertical="center" wrapText="1"/>
    </xf>
    <xf numFmtId="9" fontId="17" fillId="0" borderId="1" xfId="11" applyFont="1" applyFill="1" applyBorder="1" applyAlignment="1">
      <alignment horizontal="center" vertical="center" wrapText="1"/>
    </xf>
    <xf numFmtId="9" fontId="15" fillId="0" borderId="1" xfId="11" applyFont="1" applyBorder="1" applyAlignment="1">
      <alignment horizontal="center" vertical="center" wrapText="1"/>
    </xf>
    <xf numFmtId="43" fontId="15" fillId="0" borderId="2" xfId="8" applyFont="1" applyFill="1" applyBorder="1" applyAlignment="1">
      <alignment horizontal="center" vertical="center" wrapText="1"/>
    </xf>
    <xf numFmtId="9" fontId="15" fillId="0" borderId="2" xfId="11" applyFont="1" applyFill="1" applyBorder="1" applyAlignment="1">
      <alignment horizontal="center" vertical="center" wrapText="1"/>
    </xf>
    <xf numFmtId="43" fontId="15" fillId="0" borderId="4" xfId="8" applyFont="1" applyFill="1" applyBorder="1" applyAlignment="1">
      <alignment horizontal="center" vertical="center" wrapText="1"/>
    </xf>
    <xf numFmtId="9" fontId="15" fillId="0" borderId="4" xfId="11" applyFont="1" applyFill="1" applyBorder="1" applyAlignment="1">
      <alignment horizontal="center" vertical="center" wrapText="1"/>
    </xf>
    <xf numFmtId="176" fontId="11" fillId="0" borderId="1" xfId="0" applyFont="1" applyBorder="1" applyAlignment="1">
      <alignment horizontal="center" vertical="center"/>
    </xf>
    <xf numFmtId="176" fontId="11" fillId="0" borderId="1" xfId="0" applyFont="1" applyBorder="1" applyAlignment="1">
      <alignment horizontal="center" vertical="center" wrapText="1"/>
    </xf>
    <xf numFmtId="178" fontId="4" fillId="0" borderId="1" xfId="51" applyNumberFormat="1" applyFont="1" applyBorder="1" applyAlignment="1">
      <alignment horizontal="center" vertical="center"/>
    </xf>
    <xf numFmtId="179" fontId="11" fillId="0" borderId="1" xfId="51" applyNumberFormat="1" applyFont="1" applyBorder="1" applyAlignment="1">
      <alignment horizontal="center" vertical="center"/>
    </xf>
    <xf numFmtId="178" fontId="11" fillId="0" borderId="1" xfId="51" applyNumberFormat="1" applyFont="1" applyBorder="1" applyAlignment="1">
      <alignment horizontal="center" vertical="center"/>
    </xf>
    <xf numFmtId="43" fontId="7" fillId="0" borderId="0" xfId="8" applyFont="1" applyAlignment="1"/>
    <xf numFmtId="176" fontId="4" fillId="0" borderId="0" xfId="51" applyFont="1" applyFill="1" applyAlignment="1">
      <alignment vertical="center"/>
    </xf>
    <xf numFmtId="180" fontId="4" fillId="0" borderId="3" xfId="51" applyNumberFormat="1" applyFont="1" applyFill="1" applyBorder="1" applyAlignment="1">
      <alignment horizontal="center" vertical="center" wrapText="1"/>
    </xf>
    <xf numFmtId="9" fontId="4" fillId="0" borderId="1" xfId="51" applyNumberFormat="1" applyFont="1" applyFill="1" applyBorder="1" applyAlignment="1">
      <alignment horizontal="center" vertical="center" wrapText="1"/>
    </xf>
    <xf numFmtId="176" fontId="4" fillId="0" borderId="1" xfId="51" applyFont="1" applyFill="1" applyBorder="1" applyAlignment="1">
      <alignment horizontal="center" vertical="center"/>
    </xf>
    <xf numFmtId="176" fontId="4" fillId="0" borderId="8" xfId="51" applyFont="1" applyFill="1" applyBorder="1" applyAlignment="1">
      <alignment horizontal="left" vertical="center" wrapText="1"/>
    </xf>
    <xf numFmtId="179" fontId="4" fillId="0" borderId="1" xfId="51" applyNumberFormat="1" applyFont="1" applyBorder="1" applyAlignment="1">
      <alignment horizontal="center" vertical="center"/>
    </xf>
    <xf numFmtId="0" fontId="4" fillId="0" borderId="1" xfId="51" applyNumberFormat="1" applyFont="1" applyFill="1" applyBorder="1" applyAlignment="1" applyProtection="1">
      <alignment horizontal="center" vertical="center"/>
    </xf>
    <xf numFmtId="43" fontId="4" fillId="0" borderId="3" xfId="51" applyNumberFormat="1" applyFont="1" applyBorder="1" applyAlignment="1">
      <alignment horizontal="center" vertical="center" wrapText="1"/>
    </xf>
    <xf numFmtId="49" fontId="4" fillId="0" borderId="2" xfId="51" applyNumberFormat="1" applyFont="1" applyFill="1" applyBorder="1" applyAlignment="1">
      <alignment horizontal="center" vertical="center" wrapText="1"/>
    </xf>
    <xf numFmtId="49" fontId="4" fillId="0" borderId="3" xfId="51" applyNumberFormat="1" applyFont="1" applyFill="1" applyBorder="1" applyAlignment="1">
      <alignment horizontal="center" vertical="center" wrapText="1"/>
    </xf>
    <xf numFmtId="49" fontId="4" fillId="0" borderId="4" xfId="51" applyNumberFormat="1" applyFont="1" applyFill="1" applyBorder="1" applyAlignment="1">
      <alignment horizontal="center" vertical="center" wrapText="1"/>
    </xf>
    <xf numFmtId="43" fontId="4" fillId="0" borderId="4" xfId="51" applyNumberFormat="1" applyFont="1" applyBorder="1" applyAlignment="1">
      <alignment horizontal="center" vertical="center" wrapText="1"/>
    </xf>
    <xf numFmtId="180" fontId="4" fillId="0" borderId="1" xfId="51" applyNumberFormat="1" applyFont="1" applyFill="1" applyBorder="1" applyAlignment="1">
      <alignment horizontal="center" vertical="center" wrapText="1"/>
    </xf>
    <xf numFmtId="180" fontId="4" fillId="0" borderId="1" xfId="51" applyNumberFormat="1" applyFont="1" applyBorder="1" applyAlignment="1">
      <alignment horizontal="center" vertical="center" wrapText="1"/>
    </xf>
    <xf numFmtId="180" fontId="4" fillId="0" borderId="0" xfId="51" applyNumberFormat="1" applyFont="1" applyAlignment="1">
      <alignment vertical="center"/>
    </xf>
    <xf numFmtId="180" fontId="11" fillId="0" borderId="1" xfId="51" applyNumberFormat="1" applyFont="1" applyBorder="1" applyAlignment="1">
      <alignment horizontal="center" vertical="center" wrapText="1"/>
    </xf>
    <xf numFmtId="10" fontId="11" fillId="0" borderId="1" xfId="51" applyNumberFormat="1" applyFont="1" applyBorder="1" applyAlignment="1">
      <alignment horizontal="center" vertical="center" wrapText="1"/>
    </xf>
    <xf numFmtId="43" fontId="15" fillId="0" borderId="0" xfId="8" applyFont="1" applyFill="1" applyAlignment="1">
      <alignment vertical="center"/>
    </xf>
    <xf numFmtId="9" fontId="15" fillId="0" borderId="0" xfId="11" applyFont="1" applyFill="1" applyAlignment="1">
      <alignment vertical="center"/>
    </xf>
    <xf numFmtId="179" fontId="15" fillId="0" borderId="1" xfId="51" applyNumberFormat="1" applyFont="1" applyFill="1" applyBorder="1" applyAlignment="1">
      <alignment horizontal="center" vertical="center" wrapText="1"/>
    </xf>
    <xf numFmtId="43" fontId="17" fillId="0" borderId="1" xfId="8" applyFont="1" applyFill="1" applyBorder="1" applyAlignment="1">
      <alignment horizontal="center" vertical="center" wrapText="1"/>
    </xf>
    <xf numFmtId="9" fontId="17" fillId="0" borderId="1" xfId="11" applyFont="1" applyFill="1" applyBorder="1" applyAlignment="1">
      <alignment horizontal="center" vertical="center" wrapText="1"/>
    </xf>
    <xf numFmtId="43" fontId="15" fillId="0" borderId="1" xfId="8" applyFont="1" applyFill="1" applyBorder="1" applyAlignment="1">
      <alignment horizontal="center" vertical="center" wrapText="1"/>
    </xf>
    <xf numFmtId="9" fontId="15" fillId="0" borderId="1" xfId="11" applyFont="1" applyFill="1" applyBorder="1" applyAlignment="1">
      <alignment horizontal="center" vertical="center" wrapText="1"/>
    </xf>
    <xf numFmtId="43" fontId="15" fillId="0" borderId="1" xfId="8" applyFont="1" applyFill="1" applyBorder="1" applyAlignment="1">
      <alignment horizontal="center" vertical="center" wrapText="1"/>
    </xf>
    <xf numFmtId="9" fontId="15" fillId="0" borderId="1" xfId="11" applyFont="1" applyFill="1" applyBorder="1" applyAlignment="1">
      <alignment horizontal="center" vertical="center" wrapText="1"/>
    </xf>
    <xf numFmtId="176" fontId="7" fillId="0" borderId="0" xfId="0" applyFont="1"/>
    <xf numFmtId="176" fontId="9" fillId="0" borderId="0" xfId="0" applyFont="1"/>
    <xf numFmtId="176" fontId="4" fillId="0" borderId="1" xfId="0" applyFont="1" applyBorder="1" applyAlignment="1">
      <alignment horizontal="center" vertical="center" wrapText="1"/>
    </xf>
    <xf numFmtId="176" fontId="4" fillId="0" borderId="1" xfId="0" applyFont="1" applyFill="1" applyBorder="1" applyAlignment="1">
      <alignment horizontal="center" vertical="center" wrapText="1"/>
    </xf>
    <xf numFmtId="176" fontId="4" fillId="0" borderId="1" xfId="0" applyFont="1" applyFill="1" applyBorder="1" applyAlignment="1">
      <alignment horizontal="left" vertical="center"/>
    </xf>
    <xf numFmtId="178" fontId="4" fillId="0" borderId="1" xfId="0" applyNumberFormat="1" applyFont="1" applyBorder="1" applyAlignment="1">
      <alignment horizontal="center" vertical="center"/>
    </xf>
    <xf numFmtId="176" fontId="11" fillId="0" borderId="6" xfId="0" applyFont="1" applyBorder="1" applyAlignment="1">
      <alignment horizontal="center"/>
    </xf>
    <xf numFmtId="176" fontId="11" fillId="0" borderId="7" xfId="0" applyFont="1" applyBorder="1" applyAlignment="1">
      <alignment horizontal="center"/>
    </xf>
    <xf numFmtId="176" fontId="11" fillId="0" borderId="8" xfId="0" applyFont="1" applyBorder="1" applyAlignment="1">
      <alignment horizontal="center"/>
    </xf>
    <xf numFmtId="179" fontId="11" fillId="0" borderId="1" xfId="0" applyNumberFormat="1" applyFont="1" applyBorder="1" applyAlignment="1">
      <alignment horizontal="center" vertical="center"/>
    </xf>
    <xf numFmtId="178" fontId="11" fillId="0" borderId="1" xfId="0" applyNumberFormat="1" applyFont="1" applyBorder="1" applyAlignment="1">
      <alignment horizontal="center" vertical="center"/>
    </xf>
    <xf numFmtId="176" fontId="4" fillId="0" borderId="0" xfId="0" applyFont="1" applyAlignment="1">
      <alignment horizontal="center" vertical="center"/>
    </xf>
    <xf numFmtId="179" fontId="4" fillId="0" borderId="0" xfId="0" applyNumberFormat="1" applyFont="1" applyAlignment="1">
      <alignment horizontal="center" vertical="center"/>
    </xf>
    <xf numFmtId="176" fontId="4" fillId="0" borderId="0" xfId="0" applyFont="1" applyAlignment="1">
      <alignment horizontal="left" vertical="center"/>
    </xf>
    <xf numFmtId="176" fontId="10" fillId="0" borderId="0" xfId="0" applyFont="1" applyBorder="1" applyAlignment="1">
      <alignment horizontal="center" vertical="center"/>
    </xf>
    <xf numFmtId="176" fontId="11" fillId="4" borderId="1" xfId="0" applyFont="1" applyFill="1" applyBorder="1" applyAlignment="1">
      <alignment horizontal="center" vertical="center" wrapText="1"/>
    </xf>
    <xf numFmtId="179" fontId="11"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Font="1" applyBorder="1" applyAlignment="1">
      <alignment horizontal="left" vertical="center" wrapText="1"/>
    </xf>
    <xf numFmtId="43"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xf>
    <xf numFmtId="176" fontId="4" fillId="0" borderId="1" xfId="0" applyFont="1" applyBorder="1" applyAlignment="1">
      <alignment horizontal="center" vertical="center"/>
    </xf>
    <xf numFmtId="179" fontId="4" fillId="0" borderId="2" xfId="0" applyNumberFormat="1" applyFont="1" applyBorder="1" applyAlignment="1">
      <alignment horizontal="center" vertical="center" wrapText="1"/>
    </xf>
    <xf numFmtId="9" fontId="4" fillId="0" borderId="1" xfId="11" applyFont="1" applyBorder="1" applyAlignment="1">
      <alignment horizontal="center" vertical="center" wrapText="1"/>
    </xf>
    <xf numFmtId="179" fontId="4" fillId="0" borderId="3" xfId="0" applyNumberFormat="1" applyFont="1" applyBorder="1" applyAlignment="1">
      <alignment horizontal="center" vertical="center" wrapText="1"/>
    </xf>
    <xf numFmtId="179" fontId="4" fillId="0" borderId="4"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3"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43" fontId="11" fillId="0" borderId="1" xfId="0" applyNumberFormat="1" applyFont="1" applyBorder="1" applyAlignment="1">
      <alignment horizontal="center" vertical="center" wrapText="1"/>
    </xf>
    <xf numFmtId="176" fontId="11" fillId="0" borderId="1" xfId="0" applyFont="1" applyBorder="1" applyAlignment="1">
      <alignment vertical="center" wrapText="1"/>
    </xf>
    <xf numFmtId="179" fontId="11" fillId="0" borderId="1" xfId="0" applyNumberFormat="1" applyFont="1" applyBorder="1" applyAlignment="1">
      <alignment horizontal="center" vertical="center" wrapText="1"/>
    </xf>
    <xf numFmtId="176" fontId="11" fillId="0" borderId="1" xfId="0" applyFont="1" applyBorder="1" applyAlignment="1">
      <alignment horizontal="left" vertical="center" wrapText="1"/>
    </xf>
    <xf numFmtId="176" fontId="11" fillId="0" borderId="0" xfId="0" applyFont="1" applyBorder="1" applyAlignment="1">
      <alignment horizontal="center" vertical="center" wrapText="1"/>
    </xf>
    <xf numFmtId="179" fontId="11" fillId="0" borderId="0" xfId="0" applyNumberFormat="1" applyFont="1" applyBorder="1" applyAlignment="1">
      <alignment horizontal="center" vertical="center" wrapText="1"/>
    </xf>
    <xf numFmtId="176" fontId="11" fillId="0" borderId="0" xfId="0" applyFont="1" applyBorder="1" applyAlignment="1">
      <alignment horizontal="left" vertical="center" wrapText="1"/>
    </xf>
    <xf numFmtId="178" fontId="4" fillId="0" borderId="0" xfId="0" applyNumberFormat="1" applyFont="1" applyAlignment="1">
      <alignment horizontal="center" vertical="center"/>
    </xf>
    <xf numFmtId="176" fontId="11" fillId="0" borderId="1" xfId="0" applyFont="1" applyFill="1" applyBorder="1" applyAlignment="1">
      <alignment horizontal="center" vertical="center" wrapText="1"/>
    </xf>
    <xf numFmtId="176" fontId="4" fillId="0" borderId="1" xfId="0" applyFont="1" applyBorder="1" applyAlignment="1">
      <alignment horizontal="justify" vertical="center" wrapText="1"/>
    </xf>
    <xf numFmtId="178"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76" fontId="4" fillId="0" borderId="1" xfId="0" applyFont="1" applyBorder="1" applyAlignment="1">
      <alignment vertical="center" wrapText="1"/>
    </xf>
    <xf numFmtId="178" fontId="4" fillId="0" borderId="1" xfId="0" applyNumberFormat="1" applyFont="1" applyFill="1" applyBorder="1" applyAlignment="1">
      <alignment horizontal="center" vertical="center" wrapText="1"/>
    </xf>
    <xf numFmtId="176" fontId="4" fillId="0" borderId="1" xfId="0" applyFont="1" applyFill="1" applyBorder="1" applyAlignment="1">
      <alignment vertical="center" wrapText="1"/>
    </xf>
    <xf numFmtId="10" fontId="11" fillId="0" borderId="1" xfId="0" applyNumberFormat="1" applyFont="1" applyBorder="1" applyAlignment="1">
      <alignment horizontal="center" vertical="center" wrapText="1"/>
    </xf>
    <xf numFmtId="10" fontId="11" fillId="0" borderId="0" xfId="0" applyNumberFormat="1" applyFont="1" applyBorder="1" applyAlignment="1">
      <alignment horizontal="center" vertical="center" wrapText="1"/>
    </xf>
    <xf numFmtId="9" fontId="4" fillId="0" borderId="0" xfId="11" applyFont="1" applyAlignment="1">
      <alignment horizontal="left" vertical="center"/>
    </xf>
    <xf numFmtId="176" fontId="15" fillId="0" borderId="0" xfId="0" applyFont="1" applyAlignment="1">
      <alignment horizontal="center" vertical="center"/>
    </xf>
    <xf numFmtId="181" fontId="15" fillId="0" borderId="0" xfId="0" applyNumberFormat="1" applyFont="1" applyAlignment="1">
      <alignment horizontal="center" vertical="center"/>
    </xf>
    <xf numFmtId="176" fontId="15" fillId="0" borderId="0" xfId="0" applyFont="1" applyAlignment="1">
      <alignment horizontal="left" vertical="center"/>
    </xf>
    <xf numFmtId="179" fontId="15" fillId="0" borderId="0" xfId="0" applyNumberFormat="1" applyFont="1" applyAlignment="1">
      <alignment vertical="center"/>
    </xf>
    <xf numFmtId="176" fontId="15" fillId="0" borderId="0" xfId="0" applyFont="1" applyAlignment="1">
      <alignment vertical="center"/>
    </xf>
    <xf numFmtId="176" fontId="16" fillId="0" borderId="0" xfId="0" applyFont="1" applyBorder="1" applyAlignment="1">
      <alignment horizontal="center" vertical="center"/>
    </xf>
    <xf numFmtId="176" fontId="17" fillId="4" borderId="1" xfId="0" applyFont="1" applyFill="1" applyBorder="1" applyAlignment="1">
      <alignment horizontal="center" vertical="center" wrapText="1"/>
    </xf>
    <xf numFmtId="181" fontId="17" fillId="4" borderId="1" xfId="0" applyNumberFormat="1" applyFont="1" applyFill="1" applyBorder="1" applyAlignment="1">
      <alignment horizontal="center" vertical="center" wrapText="1"/>
    </xf>
    <xf numFmtId="176" fontId="15" fillId="0" borderId="1" xfId="0" applyFont="1" applyBorder="1" applyAlignment="1">
      <alignment horizontal="center" vertical="center" wrapText="1"/>
    </xf>
    <xf numFmtId="181" fontId="15" fillId="0" borderId="1" xfId="0" applyNumberFormat="1" applyFont="1" applyBorder="1" applyAlignment="1">
      <alignment horizontal="center" vertical="center" wrapText="1"/>
    </xf>
    <xf numFmtId="176" fontId="15" fillId="0" borderId="1" xfId="0" applyFont="1" applyBorder="1" applyAlignment="1">
      <alignment horizontal="left" vertical="center" wrapText="1"/>
    </xf>
    <xf numFmtId="176" fontId="15" fillId="0" borderId="1" xfId="0" applyFont="1" applyBorder="1" applyAlignment="1">
      <alignment horizontal="justify" vertical="center" wrapText="1"/>
    </xf>
    <xf numFmtId="9" fontId="15" fillId="0" borderId="1" xfId="0" applyNumberFormat="1" applyFont="1" applyBorder="1" applyAlignment="1">
      <alignment horizontal="center" vertical="center" wrapText="1"/>
    </xf>
    <xf numFmtId="9" fontId="15" fillId="0" borderId="1" xfId="0" applyNumberFormat="1" applyFont="1" applyBorder="1" applyAlignment="1">
      <alignment horizontal="left" vertical="center" wrapText="1"/>
    </xf>
    <xf numFmtId="176" fontId="15" fillId="0" borderId="1" xfId="0" applyFont="1" applyBorder="1" applyAlignment="1">
      <alignment horizontal="justify" vertical="top" wrapText="1"/>
    </xf>
    <xf numFmtId="176" fontId="15" fillId="0" borderId="1" xfId="0" applyFont="1" applyFill="1" applyBorder="1" applyAlignment="1">
      <alignment horizontal="center" vertical="center" wrapText="1"/>
    </xf>
    <xf numFmtId="181" fontId="15" fillId="0" borderId="1" xfId="0" applyNumberFormat="1" applyFont="1" applyFill="1" applyBorder="1" applyAlignment="1">
      <alignment horizontal="center" vertical="center" wrapText="1"/>
    </xf>
    <xf numFmtId="176" fontId="15" fillId="0" borderId="1" xfId="0" applyFont="1" applyFill="1" applyBorder="1" applyAlignment="1">
      <alignment horizontal="left" vertical="center" wrapText="1"/>
    </xf>
    <xf numFmtId="176" fontId="15" fillId="0" borderId="1" xfId="0" applyFont="1" applyBorder="1" applyAlignment="1">
      <alignment horizontal="center" vertical="center"/>
    </xf>
    <xf numFmtId="176" fontId="17" fillId="0" borderId="1" xfId="0" applyFont="1" applyBorder="1" applyAlignment="1">
      <alignment horizontal="center" vertical="center" wrapText="1"/>
    </xf>
    <xf numFmtId="181" fontId="17" fillId="0" borderId="1" xfId="0" applyNumberFormat="1" applyFont="1" applyBorder="1" applyAlignment="1">
      <alignment horizontal="center" vertical="center" wrapText="1"/>
    </xf>
    <xf numFmtId="176" fontId="17" fillId="0" borderId="1" xfId="0" applyFont="1" applyBorder="1" applyAlignment="1">
      <alignment horizontal="left" vertical="center" wrapText="1"/>
    </xf>
    <xf numFmtId="179" fontId="17" fillId="0" borderId="1" xfId="0" applyNumberFormat="1" applyFont="1" applyFill="1" applyBorder="1" applyAlignment="1">
      <alignment horizontal="center" vertical="center" wrapText="1"/>
    </xf>
    <xf numFmtId="176" fontId="17" fillId="0" borderId="1" xfId="0" applyFont="1" applyFill="1" applyBorder="1" applyAlignment="1">
      <alignment horizontal="center" vertical="center" wrapText="1"/>
    </xf>
    <xf numFmtId="179" fontId="15" fillId="0" borderId="1" xfId="0" applyNumberFormat="1" applyFont="1" applyBorder="1" applyAlignment="1">
      <alignment horizontal="center" vertical="center" wrapText="1"/>
    </xf>
    <xf numFmtId="10" fontId="15" fillId="0" borderId="1" xfId="0" applyNumberFormat="1" applyFont="1" applyBorder="1" applyAlignment="1">
      <alignment horizontal="center" vertical="center" wrapText="1"/>
    </xf>
    <xf numFmtId="176" fontId="15" fillId="0" borderId="0" xfId="0" applyFont="1" applyAlignment="1">
      <alignment vertical="center" wrapText="1"/>
    </xf>
    <xf numFmtId="176" fontId="15" fillId="2" borderId="0" xfId="0" applyFont="1" applyFill="1" applyAlignment="1">
      <alignment vertical="center"/>
    </xf>
    <xf numFmtId="179" fontId="15" fillId="0" borderId="1" xfId="0" applyNumberFormat="1" applyFont="1" applyFill="1" applyBorder="1" applyAlignment="1">
      <alignment horizontal="center" vertical="center" wrapText="1"/>
    </xf>
    <xf numFmtId="179" fontId="17" fillId="0" borderId="1" xfId="0" applyNumberFormat="1" applyFont="1" applyBorder="1" applyAlignment="1">
      <alignment horizontal="center" vertical="center" wrapText="1"/>
    </xf>
    <xf numFmtId="10" fontId="17" fillId="0" borderId="1" xfId="0" applyNumberFormat="1" applyFont="1" applyBorder="1" applyAlignment="1">
      <alignment horizontal="center" vertical="center" wrapText="1"/>
    </xf>
    <xf numFmtId="176" fontId="1" fillId="0" borderId="0" xfId="13" applyFill="1">
      <alignment vertical="center"/>
    </xf>
    <xf numFmtId="176" fontId="0" fillId="0" borderId="0" xfId="0" applyFill="1"/>
    <xf numFmtId="177" fontId="0" fillId="0" borderId="0" xfId="8" applyNumberFormat="1" applyFont="1" applyFill="1" applyAlignment="1">
      <alignment horizontal="center"/>
    </xf>
    <xf numFmtId="176" fontId="0" fillId="0" borderId="0" xfId="0" applyFill="1" applyAlignment="1">
      <alignment horizontal="center"/>
    </xf>
    <xf numFmtId="43" fontId="0" fillId="0" borderId="0" xfId="8" applyFont="1" applyFill="1" applyAlignment="1">
      <alignment horizontal="center"/>
    </xf>
    <xf numFmtId="10" fontId="0" fillId="0" borderId="0" xfId="11" applyNumberFormat="1" applyFont="1" applyFill="1" applyAlignment="1"/>
    <xf numFmtId="43" fontId="0" fillId="0" borderId="0" xfId="8" applyFont="1" applyFill="1" applyAlignment="1"/>
    <xf numFmtId="176" fontId="19" fillId="0" borderId="5" xfId="0" applyFont="1" applyFill="1" applyBorder="1" applyAlignment="1">
      <alignment horizontal="center" vertical="center"/>
    </xf>
    <xf numFmtId="176" fontId="3" fillId="0" borderId="1" xfId="13" applyFont="1" applyFill="1" applyBorder="1" applyAlignment="1">
      <alignment horizontal="center" vertical="center"/>
    </xf>
    <xf numFmtId="177" fontId="3" fillId="0" borderId="1" xfId="8" applyNumberFormat="1" applyFont="1" applyFill="1" applyBorder="1" applyAlignment="1">
      <alignment horizontal="center" vertical="center"/>
    </xf>
    <xf numFmtId="176" fontId="1" fillId="0" borderId="2" xfId="13" applyFill="1" applyBorder="1" applyAlignment="1">
      <alignment horizontal="center" vertical="center" wrapText="1"/>
    </xf>
    <xf numFmtId="176" fontId="1" fillId="0" borderId="2" xfId="13" applyFont="1" applyFill="1" applyBorder="1" applyAlignment="1">
      <alignment horizontal="center" vertical="center" wrapText="1"/>
    </xf>
    <xf numFmtId="176" fontId="1" fillId="0" borderId="1" xfId="13" applyFont="1" applyFill="1" applyBorder="1" applyAlignment="1">
      <alignment horizontal="left" vertical="center"/>
    </xf>
    <xf numFmtId="43" fontId="0" fillId="0" borderId="1" xfId="8" applyFont="1" applyFill="1" applyBorder="1" applyAlignment="1">
      <alignment horizontal="center"/>
    </xf>
    <xf numFmtId="176" fontId="1" fillId="0" borderId="4" xfId="13" applyFill="1" applyBorder="1" applyAlignment="1">
      <alignment horizontal="center" vertical="center" wrapText="1"/>
    </xf>
    <xf numFmtId="176" fontId="1" fillId="0" borderId="3" xfId="13" applyFont="1" applyFill="1" applyBorder="1" applyAlignment="1">
      <alignment horizontal="center" vertical="center" wrapText="1"/>
    </xf>
    <xf numFmtId="176" fontId="1" fillId="0" borderId="4" xfId="13" applyFont="1" applyFill="1" applyBorder="1" applyAlignment="1">
      <alignment horizontal="center" vertical="center" wrapText="1"/>
    </xf>
    <xf numFmtId="176" fontId="4" fillId="0" borderId="2" xfId="0" applyFont="1" applyFill="1" applyBorder="1" applyAlignment="1">
      <alignment horizontal="center" vertical="center" wrapText="1"/>
    </xf>
    <xf numFmtId="177" fontId="0" fillId="0" borderId="1" xfId="8" applyNumberFormat="1" applyFont="1" applyFill="1" applyBorder="1" applyAlignment="1">
      <alignment horizontal="center"/>
    </xf>
    <xf numFmtId="176" fontId="0" fillId="0" borderId="3" xfId="0" applyFill="1" applyBorder="1" applyAlignment="1">
      <alignment horizontal="center" vertical="center" wrapText="1"/>
    </xf>
    <xf numFmtId="43" fontId="2" fillId="0" borderId="1" xfId="8" applyFont="1" applyFill="1" applyBorder="1" applyAlignment="1">
      <alignment horizontal="center"/>
    </xf>
    <xf numFmtId="176" fontId="4" fillId="0" borderId="3" xfId="0" applyFont="1" applyFill="1" applyBorder="1" applyAlignment="1">
      <alignment horizontal="left" vertical="center" wrapText="1"/>
    </xf>
    <xf numFmtId="176" fontId="0" fillId="0" borderId="3" xfId="0" applyFill="1" applyBorder="1" applyAlignment="1">
      <alignment horizontal="left" vertical="center" wrapText="1"/>
    </xf>
    <xf numFmtId="176" fontId="0" fillId="0" borderId="4" xfId="0" applyFill="1" applyBorder="1" applyAlignment="1">
      <alignment horizontal="center" vertical="center" wrapText="1"/>
    </xf>
    <xf numFmtId="176" fontId="0" fillId="0" borderId="4" xfId="0" applyFill="1" applyBorder="1" applyAlignment="1">
      <alignment horizontal="left" vertical="center" wrapText="1"/>
    </xf>
    <xf numFmtId="10" fontId="0" fillId="0" borderId="0" xfId="11" applyNumberFormat="1" applyFont="1" applyFill="1" applyAlignment="1">
      <alignment horizontal="center"/>
    </xf>
    <xf numFmtId="43" fontId="19" fillId="0" borderId="5" xfId="8" applyFont="1" applyFill="1" applyBorder="1" applyAlignment="1">
      <alignment horizontal="center" vertical="center"/>
    </xf>
    <xf numFmtId="43" fontId="1" fillId="0" borderId="0" xfId="8" applyFont="1" applyFill="1">
      <alignment vertical="center"/>
    </xf>
    <xf numFmtId="43" fontId="0" fillId="0" borderId="1" xfId="8" applyFont="1" applyFill="1" applyBorder="1" applyAlignment="1"/>
    <xf numFmtId="176" fontId="4" fillId="0" borderId="1" xfId="0" applyFont="1" applyFill="1" applyBorder="1"/>
    <xf numFmtId="9" fontId="0" fillId="0" borderId="0" xfId="11" applyFont="1" applyFill="1" applyAlignment="1"/>
    <xf numFmtId="43" fontId="6" fillId="0" borderId="0" xfId="8" applyFont="1" applyFill="1" applyAlignment="1"/>
    <xf numFmtId="43" fontId="2" fillId="0" borderId="0" xfId="8" applyFont="1" applyFill="1" applyAlignment="1"/>
    <xf numFmtId="43" fontId="4" fillId="0" borderId="0" xfId="8" applyFont="1" applyFill="1" applyAlignment="1"/>
    <xf numFmtId="176" fontId="20" fillId="0" borderId="0" xfId="0" applyFont="1" applyFill="1"/>
    <xf numFmtId="176" fontId="10" fillId="0" borderId="5" xfId="0" applyFont="1" applyBorder="1" applyAlignment="1">
      <alignment horizontal="center" vertical="center"/>
    </xf>
    <xf numFmtId="176" fontId="21" fillId="4" borderId="1" xfId="0" applyFont="1" applyFill="1" applyBorder="1" applyAlignment="1">
      <alignment horizontal="center" vertical="center"/>
    </xf>
    <xf numFmtId="176" fontId="21" fillId="4" borderId="2" xfId="0" applyFont="1" applyFill="1" applyBorder="1" applyAlignment="1">
      <alignment horizontal="center" vertical="center" wrapText="1"/>
    </xf>
    <xf numFmtId="176" fontId="21" fillId="4" borderId="1" xfId="0" applyFont="1" applyFill="1" applyBorder="1" applyAlignment="1">
      <alignment horizontal="center" vertical="center" wrapText="1"/>
    </xf>
    <xf numFmtId="176" fontId="21" fillId="4" borderId="6" xfId="0" applyFont="1" applyFill="1" applyBorder="1" applyAlignment="1">
      <alignment horizontal="center" vertical="center"/>
    </xf>
    <xf numFmtId="176" fontId="21" fillId="4" borderId="7" xfId="0" applyFont="1" applyFill="1" applyBorder="1" applyAlignment="1">
      <alignment horizontal="center" vertical="center"/>
    </xf>
    <xf numFmtId="176" fontId="21" fillId="4" borderId="8" xfId="0" applyFont="1" applyFill="1" applyBorder="1" applyAlignment="1">
      <alignment horizontal="center" vertical="center"/>
    </xf>
    <xf numFmtId="176" fontId="21" fillId="4" borderId="4" xfId="0" applyFont="1" applyFill="1" applyBorder="1" applyAlignment="1">
      <alignment horizontal="center" vertical="center" wrapText="1"/>
    </xf>
    <xf numFmtId="177" fontId="22" fillId="0" borderId="1" xfId="8" applyNumberFormat="1" applyFont="1" applyFill="1" applyBorder="1" applyAlignment="1">
      <alignment horizontal="left" vertical="center"/>
    </xf>
    <xf numFmtId="176" fontId="4" fillId="0" borderId="1" xfId="0" applyFont="1" applyBorder="1" applyAlignment="1">
      <alignment vertical="center"/>
    </xf>
    <xf numFmtId="43" fontId="22" fillId="0" borderId="1" xfId="8" applyFont="1" applyFill="1" applyBorder="1" applyAlignment="1">
      <alignment vertical="center"/>
    </xf>
    <xf numFmtId="177" fontId="23" fillId="0" borderId="1" xfId="8" applyNumberFormat="1" applyFont="1" applyFill="1" applyBorder="1" applyAlignment="1">
      <alignment horizontal="left" vertical="center"/>
    </xf>
    <xf numFmtId="176" fontId="15" fillId="0" borderId="1" xfId="0" applyFont="1" applyFill="1" applyBorder="1" applyAlignment="1">
      <alignment vertical="center"/>
    </xf>
    <xf numFmtId="43" fontId="23" fillId="0" borderId="1" xfId="8" applyFont="1" applyFill="1" applyBorder="1" applyAlignment="1">
      <alignment vertical="center"/>
    </xf>
    <xf numFmtId="43" fontId="21" fillId="4" borderId="1" xfId="0" applyNumberFormat="1" applyFont="1" applyFill="1" applyBorder="1" applyAlignment="1">
      <alignment vertical="center"/>
    </xf>
    <xf numFmtId="43" fontId="21" fillId="4" borderId="1" xfId="8" applyFont="1" applyFill="1" applyBorder="1" applyAlignment="1">
      <alignment vertical="center"/>
    </xf>
    <xf numFmtId="43" fontId="21" fillId="4" borderId="1" xfId="8" applyFont="1" applyFill="1" applyBorder="1" applyAlignment="1">
      <alignment horizontal="right" vertical="center"/>
    </xf>
    <xf numFmtId="43" fontId="21" fillId="0" borderId="1" xfId="8" applyFont="1" applyFill="1" applyBorder="1" applyAlignment="1">
      <alignment vertical="center"/>
    </xf>
    <xf numFmtId="176" fontId="21" fillId="4" borderId="1"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1_&#39033;&#30446;&#25903;&#20986;&#25351;&#26631;&#20307;&#31995;&#65288;&#26684;&#24335;&#65289;%20&#20135;&#20986;&#21644;&#25928;&#26524;-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052\Documents\WeChat%20Files\wxid_d7olzrfgw7q221\FileStorage\File\2021-07\&#38468;&#20214;2.1_&#39033;&#30446;&#25903;&#20986;&#25351;&#26631;&#20307;&#319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esktop\&#38468;&#20214;2.1_&#39033;&#30446;&#25351;&#26631;&#30005;&#35270;&#21488;-7.24(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052\Documents\WeChat%20Files\wxid_d7olzrfgw7q221\FileStorage\File\2021-07\&#38468;&#20214;2.1_&#39033;&#30446;&#25903;&#20986;&#25351;&#26631;&#20307;&#31995;&#20986;&#29256;&#38598;&#2224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得分汇总表"/>
      <sheetName val="青岛日报-共性指标"/>
      <sheetName val="青岛日报报业集团产出及效益绩效汇总表"/>
      <sheetName val="报业产出及绩效计算"/>
      <sheetName val="青岛演艺集团-共性指标 "/>
      <sheetName val="青岛演艺集团产出及效益绩效汇总表"/>
      <sheetName val="青岛广播电视台-共性指标"/>
      <sheetName val="青岛广播电视台产出及效益绩效汇总表"/>
      <sheetName val="青岛出版集团-共性指标"/>
      <sheetName val="青岛出版集团产出及效益绩效汇总表"/>
      <sheetName val="Sheet2"/>
    </sheetNames>
    <sheetDataSet>
      <sheetData sheetId="0"/>
      <sheetData sheetId="1"/>
      <sheetData sheetId="2"/>
      <sheetData sheetId="3"/>
      <sheetData sheetId="4"/>
      <sheetData sheetId="5"/>
      <sheetData sheetId="6"/>
      <sheetData sheetId="7"/>
      <sheetData sheetId="8"/>
      <sheetData sheetId="9"/>
      <sheetData sheetId="10">
        <row r="3">
          <cell r="E3">
            <v>50</v>
          </cell>
        </row>
        <row r="4">
          <cell r="E4">
            <v>1900</v>
          </cell>
        </row>
        <row r="5">
          <cell r="E5">
            <v>300</v>
          </cell>
        </row>
        <row r="6">
          <cell r="E6">
            <v>2800</v>
          </cell>
        </row>
        <row r="7">
          <cell r="E7">
            <v>200</v>
          </cell>
        </row>
        <row r="8">
          <cell r="E8">
            <v>200</v>
          </cell>
        </row>
        <row r="9">
          <cell r="E9">
            <v>230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得分汇总表"/>
      <sheetName val="青岛日报-共性指标"/>
      <sheetName val="青岛日报报业集团产出及效益绩效汇总表"/>
      <sheetName val="报业产出及绩效计算"/>
      <sheetName val="青岛演艺集团-共性指标 "/>
      <sheetName val="青岛演艺集团产出及效益绩效汇总表"/>
      <sheetName val="青岛广播电视台-共性指标"/>
      <sheetName val="青岛广播电视台产出及效益绩效汇总表"/>
      <sheetName val="青岛出版集团-共性指标"/>
      <sheetName val="青岛出版集团产出及效益绩效汇总表"/>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E10">
            <v>1755</v>
          </cell>
        </row>
        <row r="18">
          <cell r="E18">
            <v>1080</v>
          </cell>
        </row>
        <row r="22">
          <cell r="E22">
            <v>720</v>
          </cell>
        </row>
        <row r="23">
          <cell r="E23">
            <v>340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得分汇总表"/>
      <sheetName val="青岛日报-共性指标"/>
      <sheetName val="青岛日报报业集团产出及效益绩效汇总表"/>
      <sheetName val="报业产出及绩效计算"/>
      <sheetName val="青岛演艺集团-共性指标 "/>
      <sheetName val="青岛演艺集团产出及效益绩效汇总表"/>
      <sheetName val="演艺集团产出及绩效计算"/>
      <sheetName val="青岛广播电视台-共性指标"/>
      <sheetName val="青岛广播电视台产出及效益绩效汇总表"/>
      <sheetName val="青岛出版集团-共性指标"/>
      <sheetName val="青岛出版集团产出及效益绩效汇总表"/>
      <sheetName val="出版产出及绩效计算 "/>
      <sheetName val="青岛广播电视台产出及绩效计算 "/>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H15">
            <v>46.849915682968</v>
          </cell>
        </row>
      </sheetData>
      <sheetData sheetId="13">
        <row r="27">
          <cell r="E27">
            <v>100</v>
          </cell>
        </row>
        <row r="28">
          <cell r="E28">
            <v>120</v>
          </cell>
        </row>
        <row r="29">
          <cell r="E29">
            <v>80</v>
          </cell>
        </row>
        <row r="30">
          <cell r="E30">
            <v>100</v>
          </cell>
        </row>
        <row r="31">
          <cell r="E31">
            <v>840</v>
          </cell>
        </row>
        <row r="32">
          <cell r="E32">
            <v>250</v>
          </cell>
        </row>
        <row r="33">
          <cell r="E33">
            <v>260</v>
          </cell>
        </row>
        <row r="34">
          <cell r="E34">
            <v>700</v>
          </cell>
        </row>
        <row r="35">
          <cell r="E35">
            <v>1100</v>
          </cell>
        </row>
        <row r="36">
          <cell r="E36">
            <v>1000</v>
          </cell>
        </row>
        <row r="37">
          <cell r="E37">
            <v>200</v>
          </cell>
        </row>
        <row r="38">
          <cell r="E38">
            <v>550</v>
          </cell>
        </row>
        <row r="39">
          <cell r="E39">
            <v>180</v>
          </cell>
        </row>
        <row r="40">
          <cell r="E40">
            <v>8</v>
          </cell>
        </row>
        <row r="41">
          <cell r="E41">
            <v>10</v>
          </cell>
        </row>
        <row r="42">
          <cell r="E42">
            <v>12</v>
          </cell>
        </row>
        <row r="43">
          <cell r="E43">
            <v>140</v>
          </cell>
        </row>
        <row r="44">
          <cell r="E44">
            <v>30</v>
          </cell>
        </row>
        <row r="45">
          <cell r="E45">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得分汇总表"/>
      <sheetName val="青岛日报-共性指标"/>
      <sheetName val="青岛日报报业集团产出及效益绩效汇总表"/>
      <sheetName val="报业产出及绩效计算"/>
      <sheetName val="青岛演艺集团-共性指标 "/>
      <sheetName val="青岛演艺集团产出及效益绩效汇总表"/>
      <sheetName val="青岛广播电视台-共性指标"/>
      <sheetName val="青岛广播电视台产出及效益绩效汇总表"/>
      <sheetName val="青岛出版集团-共性指标"/>
      <sheetName val="青岛出版集团产出及效益绩效汇总表"/>
      <sheetName val="出版产出及绩效计算 "/>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46">
          <cell r="E46">
            <v>195</v>
          </cell>
        </row>
        <row r="47">
          <cell r="E47">
            <v>1700</v>
          </cell>
        </row>
        <row r="48">
          <cell r="E48">
            <v>145</v>
          </cell>
        </row>
        <row r="49">
          <cell r="E49">
            <v>1800</v>
          </cell>
        </row>
        <row r="50">
          <cell r="E50">
            <v>455</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9"/>
  <sheetViews>
    <sheetView view="pageBreakPreview" zoomScaleNormal="100" workbookViewId="0">
      <selection activeCell="C7" sqref="C7"/>
    </sheetView>
  </sheetViews>
  <sheetFormatPr defaultColWidth="9" defaultRowHeight="13.5"/>
  <cols>
    <col min="1" max="1" width="6.1" style="233" customWidth="1"/>
    <col min="2" max="2" width="23.2" style="233" customWidth="1"/>
    <col min="3" max="4" width="13.9" style="233" customWidth="1"/>
    <col min="5" max="5" width="11.9" style="233" customWidth="1"/>
    <col min="6" max="6" width="9.2" style="233" customWidth="1"/>
    <col min="7" max="16" width="9.1" style="233" customWidth="1"/>
    <col min="17" max="20" width="9.9" style="233" customWidth="1"/>
    <col min="21" max="21" width="12.1" style="233" customWidth="1"/>
    <col min="22" max="22" width="9.9" style="233" customWidth="1"/>
    <col min="23" max="23" width="12.8" style="233" customWidth="1"/>
    <col min="24" max="16384" width="9" style="233"/>
  </cols>
  <sheetData>
    <row r="1" spans="1:1">
      <c r="A1" s="54" t="s">
        <v>0</v>
      </c>
    </row>
    <row r="2" ht="20.25" spans="1:23">
      <c r="A2" s="349" t="s">
        <v>1</v>
      </c>
      <c r="B2" s="349"/>
      <c r="C2" s="349"/>
      <c r="D2" s="349"/>
      <c r="E2" s="349"/>
      <c r="F2" s="349"/>
      <c r="G2" s="349"/>
      <c r="H2" s="349"/>
      <c r="I2" s="349"/>
      <c r="J2" s="349"/>
      <c r="K2" s="349"/>
      <c r="L2" s="349"/>
      <c r="M2" s="349"/>
      <c r="N2" s="349"/>
      <c r="O2" s="349"/>
      <c r="P2" s="349"/>
      <c r="Q2" s="349"/>
      <c r="R2" s="349"/>
      <c r="S2" s="349"/>
      <c r="T2" s="349"/>
      <c r="U2" s="349"/>
      <c r="V2" s="349"/>
      <c r="W2" s="349"/>
    </row>
    <row r="3" ht="24" customHeight="1" spans="1:23">
      <c r="A3" s="350" t="s">
        <v>2</v>
      </c>
      <c r="B3" s="350" t="s">
        <v>3</v>
      </c>
      <c r="C3" s="351" t="s">
        <v>4</v>
      </c>
      <c r="D3" s="352" t="s">
        <v>5</v>
      </c>
      <c r="E3" s="353" t="s">
        <v>6</v>
      </c>
      <c r="F3" s="354"/>
      <c r="G3" s="354"/>
      <c r="H3" s="355"/>
      <c r="I3" s="353" t="s">
        <v>7</v>
      </c>
      <c r="J3" s="354"/>
      <c r="K3" s="354"/>
      <c r="L3" s="355"/>
      <c r="M3" s="353" t="s">
        <v>8</v>
      </c>
      <c r="N3" s="354"/>
      <c r="O3" s="354"/>
      <c r="P3" s="355"/>
      <c r="Q3" s="353" t="s">
        <v>9</v>
      </c>
      <c r="R3" s="354"/>
      <c r="S3" s="354"/>
      <c r="T3" s="355"/>
      <c r="U3" s="350" t="s">
        <v>10</v>
      </c>
      <c r="V3" s="350"/>
      <c r="W3" s="350"/>
    </row>
    <row r="4" ht="21.6" customHeight="1" spans="1:23">
      <c r="A4" s="350"/>
      <c r="B4" s="350"/>
      <c r="C4" s="356"/>
      <c r="D4" s="352"/>
      <c r="E4" s="350" t="s">
        <v>11</v>
      </c>
      <c r="F4" s="350" t="s">
        <v>12</v>
      </c>
      <c r="G4" s="350" t="s">
        <v>13</v>
      </c>
      <c r="H4" s="350" t="s">
        <v>14</v>
      </c>
      <c r="I4" s="350" t="s">
        <v>11</v>
      </c>
      <c r="J4" s="350" t="s">
        <v>12</v>
      </c>
      <c r="K4" s="350" t="s">
        <v>13</v>
      </c>
      <c r="L4" s="350" t="s">
        <v>14</v>
      </c>
      <c r="M4" s="350" t="s">
        <v>11</v>
      </c>
      <c r="N4" s="350" t="s">
        <v>12</v>
      </c>
      <c r="O4" s="350" t="s">
        <v>13</v>
      </c>
      <c r="P4" s="350" t="s">
        <v>14</v>
      </c>
      <c r="Q4" s="350" t="s">
        <v>11</v>
      </c>
      <c r="R4" s="350" t="s">
        <v>12</v>
      </c>
      <c r="S4" s="350" t="s">
        <v>13</v>
      </c>
      <c r="T4" s="350" t="s">
        <v>14</v>
      </c>
      <c r="U4" s="350" t="s">
        <v>11</v>
      </c>
      <c r="V4" s="350" t="s">
        <v>13</v>
      </c>
      <c r="W4" s="367" t="s">
        <v>15</v>
      </c>
    </row>
    <row r="5" ht="21.6" customHeight="1" spans="1:23">
      <c r="A5" s="357">
        <v>1</v>
      </c>
      <c r="B5" s="358" t="s">
        <v>16</v>
      </c>
      <c r="C5" s="359">
        <v>10530</v>
      </c>
      <c r="D5" s="359">
        <v>5680</v>
      </c>
      <c r="E5" s="359">
        <v>16</v>
      </c>
      <c r="F5" s="359">
        <f>D5/$D$9*E5</f>
        <v>4.58989898989899</v>
      </c>
      <c r="G5" s="359">
        <f>'3-1青岛日报-共性指标'!I4+'3-1青岛日报-共性指标'!I5+'3-1青岛日报-共性指标'!I6+'3-1青岛日报-共性指标'!I7+'3-1青岛日报-共性指标'!I8+'3-1青岛日报-共性指标'!I9</f>
        <v>15</v>
      </c>
      <c r="H5" s="359">
        <f>D5/$D$9*G5</f>
        <v>4.3030303030303</v>
      </c>
      <c r="I5" s="359">
        <v>24</v>
      </c>
      <c r="J5" s="359">
        <f>D5/$D$9*I5</f>
        <v>6.88484848484848</v>
      </c>
      <c r="K5" s="359">
        <f>'3-1青岛日报-共性指标'!I10+'3-1青岛日报-共性指标'!I11+'3-1青岛日报-共性指标'!I12+'3-1青岛日报-共性指标'!I13+'3-1青岛日报-共性指标'!I14+'3-1青岛日报-共性指标'!I15+'3-1青岛日报-共性指标'!I16+'3-1青岛日报-共性指标'!I17+'3-1青岛日报-共性指标'!I18+'3-1青岛日报-共性指标'!I19</f>
        <v>18</v>
      </c>
      <c r="L5" s="359">
        <f>D5/$D$9*K5</f>
        <v>5.16363636363636</v>
      </c>
      <c r="M5" s="359">
        <f>'3-3报业产出及绩效计算'!J10</f>
        <v>30.9154929577465</v>
      </c>
      <c r="N5" s="359">
        <f>D5/$D$9*M5</f>
        <v>8.86868686868687</v>
      </c>
      <c r="O5" s="359">
        <f>'3-3报业产出及绩效计算'!L10</f>
        <v>26.9718309859155</v>
      </c>
      <c r="P5" s="359">
        <f>D5/$D$9*O5</f>
        <v>7.73737373737374</v>
      </c>
      <c r="Q5" s="359">
        <f>'3-1青岛日报-共性指标'!E22+'3-1青岛日报-共性指标'!E23+'3-1青岛日报-共性指标'!E24+'3-3报业产出及绩效计算'!N10</f>
        <v>29.0845070422535</v>
      </c>
      <c r="R5" s="359">
        <f>D5/$D$9*Q5</f>
        <v>8.34343434343434</v>
      </c>
      <c r="S5" s="359">
        <f>'3-1青岛日报-共性指标'!I22+'3-1青岛日报-共性指标'!I23+'3-1青岛日报-共性指标'!I24+'3-3报业产出及绩效计算'!P10</f>
        <v>28.8204225352113</v>
      </c>
      <c r="T5" s="359">
        <f>D5/$D$9*S5</f>
        <v>8.26767676767677</v>
      </c>
      <c r="U5" s="359">
        <f>E5+I5+Q5+M5</f>
        <v>100</v>
      </c>
      <c r="V5" s="359">
        <f>G5+K5+S5+O5</f>
        <v>88.7922535211268</v>
      </c>
      <c r="W5" s="359">
        <f>V5*D5/$D$9</f>
        <v>25.4717171717172</v>
      </c>
    </row>
    <row r="6" ht="21.6" customHeight="1" spans="1:23">
      <c r="A6" s="357">
        <v>2</v>
      </c>
      <c r="B6" s="358" t="s">
        <v>17</v>
      </c>
      <c r="C6" s="359">
        <v>3895</v>
      </c>
      <c r="D6" s="359">
        <v>3895</v>
      </c>
      <c r="E6" s="359">
        <f>E5</f>
        <v>16</v>
      </c>
      <c r="F6" s="359">
        <f t="shared" ref="F6:F8" si="0">D6/$D$9*E6</f>
        <v>3.14747474747475</v>
      </c>
      <c r="G6" s="359">
        <f>'4-1青岛演艺集团-共性指标'!I4+'4-1青岛演艺集团-共性指标'!I5+'4-1青岛演艺集团-共性指标'!I6+'4-1青岛演艺集团-共性指标'!I7+'4-1青岛演艺集团-共性指标'!I8+'4-1青岛演艺集团-共性指标'!I9</f>
        <v>16</v>
      </c>
      <c r="H6" s="359">
        <f t="shared" ref="H6:H8" si="1">D6/$D$9*G6</f>
        <v>3.14747474747475</v>
      </c>
      <c r="I6" s="359">
        <f>I5</f>
        <v>24</v>
      </c>
      <c r="J6" s="359">
        <f t="shared" ref="J6:J8" si="2">D6/$D$9*I6</f>
        <v>4.72121212121212</v>
      </c>
      <c r="K6" s="359">
        <f>'4-1青岛演艺集团-共性指标'!I10+'4-1青岛演艺集团-共性指标'!I11+'4-1青岛演艺集团-共性指标'!I12+'4-1青岛演艺集团-共性指标'!I13+'4-1青岛演艺集团-共性指标'!I14+'4-1青岛演艺集团-共性指标'!I15+'4-1青岛演艺集团-共性指标'!I16+'4-1青岛演艺集团-共性指标'!I17+'4-1青岛演艺集团-共性指标'!I18+'4-1青岛演艺集团-共性指标'!I19</f>
        <v>18</v>
      </c>
      <c r="L6" s="359">
        <f t="shared" ref="L6:L8" si="3">D6/$D$9*K6</f>
        <v>3.54090909090909</v>
      </c>
      <c r="M6" s="359">
        <f>'4-3演艺集团产出及绩效计算'!J8</f>
        <v>21.8202824133504</v>
      </c>
      <c r="N6" s="359">
        <f t="shared" ref="N6:N8" si="4">D6/$D$9*M6</f>
        <v>4.29242424242424</v>
      </c>
      <c r="O6" s="359">
        <f>'4-3演艺集团产出及绩效计算'!L8</f>
        <v>18.1781129653402</v>
      </c>
      <c r="P6" s="359">
        <f t="shared" ref="P6:P8" si="5">D6/$D$9*O6</f>
        <v>3.57594696969697</v>
      </c>
      <c r="Q6" s="359">
        <f>'4-3演艺集团产出及绩效计算'!N8+'4-1青岛演艺集团-共性指标'!E22+'4-1青岛演艺集团-共性指标'!E23+'4-1青岛演艺集团-共性指标'!E24+'4-1青岛演艺集团-共性指标'!E25+'4-1青岛演艺集团-共性指标'!E26+'4-1青岛演艺集团-共性指标'!E27</f>
        <v>38.1797175866496</v>
      </c>
      <c r="R6" s="359">
        <f t="shared" ref="R6:R8" si="6">D6/$D$9*Q6</f>
        <v>7.51060606060606</v>
      </c>
      <c r="S6" s="359">
        <f>'4-1青岛演艺集团-共性指标'!I22+'4-1青岛演艺集团-共性指标'!I23+'4-1青岛演艺集团-共性指标'!I24+'4-1青岛演艺集团-共性指标'!I25+'4-1青岛演艺集团-共性指标'!I26+'4-1青岛演艺集团-共性指标'!I27+'4-3演艺集团产出及绩效计算'!P8</f>
        <v>36.925378690629</v>
      </c>
      <c r="T6" s="359">
        <f t="shared" ref="T6:T8" si="7">D6/$D$9*S6</f>
        <v>7.26385606060606</v>
      </c>
      <c r="U6" s="359">
        <f>E6+I6+Q6+M6</f>
        <v>100</v>
      </c>
      <c r="V6" s="359">
        <f t="shared" ref="V6:V8" si="8">G6+K6+S6+O6</f>
        <v>89.1034916559692</v>
      </c>
      <c r="W6" s="359">
        <f>V6*D6/$D$9</f>
        <v>17.5281868686869</v>
      </c>
    </row>
    <row r="7" s="348" customFormat="1" ht="21.6" customHeight="1" spans="1:23">
      <c r="A7" s="360">
        <v>3</v>
      </c>
      <c r="B7" s="361" t="s">
        <v>18</v>
      </c>
      <c r="C7" s="362">
        <v>11565</v>
      </c>
      <c r="D7" s="362">
        <v>5930</v>
      </c>
      <c r="E7" s="362">
        <f>E6</f>
        <v>16</v>
      </c>
      <c r="F7" s="359">
        <f t="shared" si="0"/>
        <v>4.79191919191919</v>
      </c>
      <c r="G7" s="362">
        <f>'5-1青岛广播电视台-共性指标 '!I4+'5-1青岛广播电视台-共性指标 '!I5+'5-1青岛广播电视台-共性指标 '!I6+'5-1青岛广播电视台-共性指标 '!I7+'5-1青岛广播电视台-共性指标 '!I8+'5-1青岛广播电视台-共性指标 '!I9</f>
        <v>15</v>
      </c>
      <c r="H7" s="359">
        <f t="shared" si="1"/>
        <v>4.49242424242424</v>
      </c>
      <c r="I7" s="362">
        <f>I6</f>
        <v>24</v>
      </c>
      <c r="J7" s="359">
        <f t="shared" si="2"/>
        <v>7.18787878787879</v>
      </c>
      <c r="K7" s="362">
        <f>'5-1青岛广播电视台-共性指标 '!I10+'5-1青岛广播电视台-共性指标 '!I11+'5-1青岛广播电视台-共性指标 '!I12+'5-1青岛广播电视台-共性指标 '!I13+'5-1青岛广播电视台-共性指标 '!I14+'5-1青岛广播电视台-共性指标 '!I15+'5-1青岛广播电视台-共性指标 '!I16+'5-1青岛广播电视台-共性指标 '!I17+'5-1青岛广播电视台-共性指标 '!I18+'5-1青岛广播电视台-共性指标 '!I19</f>
        <v>22</v>
      </c>
      <c r="L7" s="359">
        <f t="shared" si="3"/>
        <v>6.58888888888889</v>
      </c>
      <c r="M7" s="359">
        <f>'5-3青岛广播电视台产出及绩效计算 '!J17</f>
        <v>22.4030354131535</v>
      </c>
      <c r="N7" s="359">
        <f t="shared" si="4"/>
        <v>6.70959595959596</v>
      </c>
      <c r="O7" s="359">
        <f>'5-3青岛广播电视台产出及绩效计算 '!L17</f>
        <v>22.3355817875211</v>
      </c>
      <c r="P7" s="359">
        <f t="shared" si="5"/>
        <v>6.68939393939394</v>
      </c>
      <c r="Q7" s="362">
        <f>'5-3青岛广播电视台产出及绩效计算 '!N17+'5-1青岛广播电视台-共性指标 '!E22+'5-1青岛广播电视台-共性指标 '!E23+'5-1青岛广播电视台-共性指标 '!E24+'5-1青岛广播电视台-共性指标 '!E25+'5-1青岛广播电视台-共性指标 '!E26+'5-1青岛广播电视台-共性指标 '!E27+'5-1青岛广播电视台-共性指标 '!E28</f>
        <v>37.5969645868465</v>
      </c>
      <c r="R7" s="359">
        <f t="shared" si="6"/>
        <v>11.260101010101</v>
      </c>
      <c r="S7" s="362">
        <f>'5-3青岛广播电视台产出及绩效计算 '!P17+'5-1青岛广播电视台-共性指标 '!I22+'5-1青岛广播电视台-共性指标 '!I23+'5-1青岛广播电视台-共性指标 '!I24+'5-1青岛广播电视台-共性指标 '!I25+'5-1青岛广播电视台-共性指标 '!I26+'5-1青岛广播电视台-共性指标 '!I27+'5-1青岛广播电视台-共性指标 '!I28</f>
        <v>34.5143338954469</v>
      </c>
      <c r="T7" s="359">
        <f t="shared" si="7"/>
        <v>10.3368686868687</v>
      </c>
      <c r="U7" s="359">
        <f>E7+I7+Q7+M7</f>
        <v>100</v>
      </c>
      <c r="V7" s="359">
        <f t="shared" si="8"/>
        <v>93.849915682968</v>
      </c>
      <c r="W7" s="362">
        <f>V7*D7/$D$9</f>
        <v>28.1075757575758</v>
      </c>
    </row>
    <row r="8" ht="21.6" customHeight="1" spans="1:23">
      <c r="A8" s="357">
        <v>4</v>
      </c>
      <c r="B8" s="358" t="s">
        <v>19</v>
      </c>
      <c r="C8" s="359">
        <v>6795</v>
      </c>
      <c r="D8" s="359">
        <v>4295</v>
      </c>
      <c r="E8" s="359">
        <f>E7</f>
        <v>16</v>
      </c>
      <c r="F8" s="359">
        <f t="shared" si="0"/>
        <v>3.47070707070707</v>
      </c>
      <c r="G8" s="359">
        <f>'6-1青岛出版集团-共性指标 '!I4+'6-1青岛出版集团-共性指标 '!I5+'6-1青岛出版集团-共性指标 '!I6+'6-1青岛出版集团-共性指标 '!I7+'6-1青岛出版集团-共性指标 '!I8+'6-1青岛出版集团-共性指标 '!I9</f>
        <v>16</v>
      </c>
      <c r="H8" s="359">
        <f t="shared" si="1"/>
        <v>3.47070707070707</v>
      </c>
      <c r="I8" s="359">
        <f>I7</f>
        <v>24</v>
      </c>
      <c r="J8" s="359">
        <f t="shared" si="2"/>
        <v>5.20606060606061</v>
      </c>
      <c r="K8" s="359">
        <f>'6-1青岛出版集团-共性指标 '!I10+'6-1青岛出版集团-共性指标 '!I11+'6-1青岛出版集团-共性指标 '!I12+'6-1青岛出版集团-共性指标 '!I13+'6-1青岛出版集团-共性指标 '!I14+'6-1青岛出版集团-共性指标 '!I15+'6-1青岛出版集团-共性指标 '!I16+'6-1青岛出版集团-共性指标 '!I17+'6-1青岛出版集团-共性指标 '!I18+'6-1青岛出版集团-共性指标 '!I19</f>
        <v>20.5</v>
      </c>
      <c r="L8" s="359">
        <f t="shared" si="3"/>
        <v>4.44684343434343</v>
      </c>
      <c r="M8" s="359">
        <f>'6-3出版产出及绩效计算 '!J8</f>
        <v>5.47147846332945</v>
      </c>
      <c r="N8" s="359">
        <f t="shared" si="4"/>
        <v>1.18686868686869</v>
      </c>
      <c r="O8" s="359">
        <f>'6-3出版产出及绩效计算 '!L8</f>
        <v>5.47147846332945</v>
      </c>
      <c r="P8" s="359">
        <f t="shared" si="5"/>
        <v>1.18686868686869</v>
      </c>
      <c r="Q8" s="359">
        <f>'6-3出版产出及绩效计算 '!N8+'6-1青岛出版集团-共性指标 '!E22+'6-1青岛出版集团-共性指标 '!E23+'6-1青岛出版集团-共性指标 '!E24+'6-1青岛出版集团-共性指标 '!E25+'6-1青岛出版集团-共性指标 '!E26+'6-1青岛出版集团-共性指标 '!E27+'6-1青岛出版集团-共性指标 '!E28</f>
        <v>54.5285215366706</v>
      </c>
      <c r="R8" s="359">
        <f t="shared" si="6"/>
        <v>11.8282828282828</v>
      </c>
      <c r="S8" s="359">
        <f>'6-1青岛出版集团-共性指标 '!I28+'6-1青岛出版集团-共性指标 '!I27+'6-1青岛出版集团-共性指标 '!I26+'6-1青岛出版集团-共性指标 '!I25+'6-1青岛出版集团-共性指标 '!I24+'6-1青岛出版集团-共性指标 '!I23+'6-1青岛出版集团-共性指标 '!I22+'6-3出版产出及绩效计算 '!P8</f>
        <v>51.0477299185099</v>
      </c>
      <c r="T8" s="359">
        <f t="shared" si="7"/>
        <v>11.0732323232323</v>
      </c>
      <c r="U8" s="359">
        <f>E8+I8+Q8+M8</f>
        <v>100</v>
      </c>
      <c r="V8" s="359">
        <f t="shared" si="8"/>
        <v>93.0192083818393</v>
      </c>
      <c r="W8" s="359">
        <f>V8*D8/$D$9</f>
        <v>20.1776515151515</v>
      </c>
    </row>
    <row r="9" ht="21.6" customHeight="1" spans="1:23">
      <c r="A9" s="350" t="s">
        <v>20</v>
      </c>
      <c r="B9" s="350"/>
      <c r="C9" s="363">
        <v>80632.5525</v>
      </c>
      <c r="D9" s="364">
        <f t="shared" ref="D9:U9" si="9">SUM(D5:D8)</f>
        <v>19800</v>
      </c>
      <c r="E9" s="365">
        <f t="shared" si="9"/>
        <v>64</v>
      </c>
      <c r="F9" s="365">
        <f t="shared" si="9"/>
        <v>16</v>
      </c>
      <c r="G9" s="365">
        <f t="shared" si="9"/>
        <v>62</v>
      </c>
      <c r="H9" s="365">
        <f t="shared" si="9"/>
        <v>15.4136363636364</v>
      </c>
      <c r="I9" s="365">
        <f t="shared" si="9"/>
        <v>96</v>
      </c>
      <c r="J9" s="365">
        <f t="shared" si="9"/>
        <v>24</v>
      </c>
      <c r="K9" s="365">
        <f t="shared" si="9"/>
        <v>78.5</v>
      </c>
      <c r="L9" s="365">
        <f t="shared" si="9"/>
        <v>19.7402777777778</v>
      </c>
      <c r="M9" s="366">
        <f t="shared" ref="M9:R9" si="10">SUM(M5:M8)</f>
        <v>80.6102892475798</v>
      </c>
      <c r="N9" s="366">
        <f t="shared" si="10"/>
        <v>21.0575757575758</v>
      </c>
      <c r="O9" s="366">
        <f t="shared" si="10"/>
        <v>72.9570042021062</v>
      </c>
      <c r="P9" s="366">
        <f t="shared" si="10"/>
        <v>19.1895833333333</v>
      </c>
      <c r="Q9" s="365">
        <f t="shared" si="10"/>
        <v>159.38971075242</v>
      </c>
      <c r="R9" s="365">
        <f t="shared" si="10"/>
        <v>38.9424242424242</v>
      </c>
      <c r="S9" s="365">
        <f t="shared" si="9"/>
        <v>151.307865039797</v>
      </c>
      <c r="T9" s="365">
        <f t="shared" si="9"/>
        <v>36.9416338383838</v>
      </c>
      <c r="U9" s="365">
        <f t="shared" si="9"/>
        <v>400</v>
      </c>
      <c r="V9" s="365">
        <f t="shared" ref="V9" si="11">G9+K9+S9</f>
        <v>291.807865039797</v>
      </c>
      <c r="W9" s="364">
        <f>SUM(W5:W8)</f>
        <v>91.2851313131313</v>
      </c>
    </row>
  </sheetData>
  <mergeCells count="11">
    <mergeCell ref="A2:W2"/>
    <mergeCell ref="E3:H3"/>
    <mergeCell ref="I3:L3"/>
    <mergeCell ref="M3:P3"/>
    <mergeCell ref="Q3:T3"/>
    <mergeCell ref="U3:W3"/>
    <mergeCell ref="A9:B9"/>
    <mergeCell ref="A3:A4"/>
    <mergeCell ref="B3:B4"/>
    <mergeCell ref="C3:C4"/>
    <mergeCell ref="D3:D4"/>
  </mergeCells>
  <pageMargins left="0.7" right="0.7" top="0.75" bottom="0.75" header="0.3" footer="0.3"/>
  <pageSetup paperSize="9" scale="50"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5"/>
  <sheetViews>
    <sheetView view="pageBreakPreview" zoomScale="90" zoomScaleNormal="85" workbookViewId="0">
      <pane xSplit="6" ySplit="3" topLeftCell="H67" activePane="bottomRight" state="frozenSplit"/>
      <selection/>
      <selection pane="topRight"/>
      <selection pane="bottomLeft"/>
      <selection pane="bottomRight" activeCell="D61" sqref="$A61:$XFD62"/>
    </sheetView>
  </sheetViews>
  <sheetFormatPr defaultColWidth="9" defaultRowHeight="13.5"/>
  <cols>
    <col min="1" max="1" width="10.4" style="80" customWidth="1"/>
    <col min="2" max="2" width="16.8" style="78" customWidth="1"/>
    <col min="3" max="3" width="12.2166666666667" style="78" customWidth="1"/>
    <col min="4" max="4" width="11.25" style="78" customWidth="1"/>
    <col min="5" max="5" width="30.2666666666667" style="78" customWidth="1"/>
    <col min="6" max="6" width="13.9" style="157" customWidth="1"/>
    <col min="7" max="7" width="45.6" style="79" customWidth="1"/>
    <col min="8" max="8" width="24.5833333333333" style="78" customWidth="1"/>
    <col min="9" max="9" width="60.3" style="80" customWidth="1"/>
    <col min="10" max="10" width="12.1" style="81" customWidth="1"/>
    <col min="11" max="11" width="8.4" style="80" customWidth="1"/>
    <col min="12" max="12" width="50.5" style="80" customWidth="1"/>
    <col min="13" max="16384" width="9" style="80"/>
  </cols>
  <sheetData>
    <row r="1" spans="1:1">
      <c r="A1" s="148" t="s">
        <v>486</v>
      </c>
    </row>
    <row r="2" ht="20.25" spans="2:9">
      <c r="B2" s="82" t="s">
        <v>487</v>
      </c>
      <c r="C2" s="82"/>
      <c r="D2" s="82"/>
      <c r="E2" s="82"/>
      <c r="F2" s="82"/>
      <c r="G2" s="82"/>
      <c r="H2" s="82"/>
      <c r="I2" s="82"/>
    </row>
    <row r="3" ht="28" customHeight="1" spans="1:12">
      <c r="A3" s="83" t="s">
        <v>488</v>
      </c>
      <c r="B3" s="83" t="s">
        <v>185</v>
      </c>
      <c r="C3" s="83" t="s">
        <v>186</v>
      </c>
      <c r="D3" s="83" t="s">
        <v>82</v>
      </c>
      <c r="E3" s="83" t="s">
        <v>83</v>
      </c>
      <c r="F3" s="158" t="s">
        <v>85</v>
      </c>
      <c r="G3" s="83" t="s">
        <v>86</v>
      </c>
      <c r="H3" s="83" t="s">
        <v>87</v>
      </c>
      <c r="I3" s="83" t="s">
        <v>88</v>
      </c>
      <c r="J3" s="109" t="s">
        <v>13</v>
      </c>
      <c r="K3" s="110" t="s">
        <v>89</v>
      </c>
      <c r="L3" s="110" t="s">
        <v>30</v>
      </c>
    </row>
    <row r="4" s="156" customFormat="1" ht="32" customHeight="1" spans="1:11">
      <c r="A4" s="159">
        <v>1</v>
      </c>
      <c r="B4" s="60" t="s">
        <v>489</v>
      </c>
      <c r="C4" s="160">
        <v>100</v>
      </c>
      <c r="D4" s="60" t="s">
        <v>490</v>
      </c>
      <c r="E4" s="60" t="s">
        <v>491</v>
      </c>
      <c r="F4" s="161">
        <v>10</v>
      </c>
      <c r="G4" s="64" t="s">
        <v>492</v>
      </c>
      <c r="H4" s="162" t="s">
        <v>493</v>
      </c>
      <c r="I4" s="173" t="s">
        <v>494</v>
      </c>
      <c r="J4" s="174">
        <f t="shared" ref="J4:J16" si="0">F4</f>
        <v>10</v>
      </c>
      <c r="K4" s="175">
        <f t="shared" ref="K4:K65" si="1">J4/F4</f>
        <v>1</v>
      </c>
    </row>
    <row r="5" s="156" customFormat="1" ht="32" customHeight="1" spans="1:11">
      <c r="A5" s="159"/>
      <c r="B5" s="60"/>
      <c r="C5" s="60"/>
      <c r="D5" s="60" t="s">
        <v>175</v>
      </c>
      <c r="E5" s="60" t="s">
        <v>495</v>
      </c>
      <c r="F5" s="163">
        <v>20</v>
      </c>
      <c r="G5" s="64" t="s">
        <v>496</v>
      </c>
      <c r="H5" s="164" t="s">
        <v>497</v>
      </c>
      <c r="I5" s="173" t="s">
        <v>498</v>
      </c>
      <c r="J5" s="174">
        <f t="shared" si="0"/>
        <v>20</v>
      </c>
      <c r="K5" s="175">
        <f t="shared" si="1"/>
        <v>1</v>
      </c>
    </row>
    <row r="6" s="156" customFormat="1" ht="21" customHeight="1" spans="1:11">
      <c r="A6" s="159"/>
      <c r="B6" s="60"/>
      <c r="C6" s="60"/>
      <c r="D6" s="60" t="s">
        <v>175</v>
      </c>
      <c r="E6" s="60" t="s">
        <v>499</v>
      </c>
      <c r="F6" s="161">
        <v>20</v>
      </c>
      <c r="G6" s="64" t="s">
        <v>500</v>
      </c>
      <c r="H6" s="64" t="s">
        <v>501</v>
      </c>
      <c r="I6" s="173" t="s">
        <v>502</v>
      </c>
      <c r="J6" s="174">
        <f t="shared" si="0"/>
        <v>20</v>
      </c>
      <c r="K6" s="175">
        <f t="shared" si="1"/>
        <v>1</v>
      </c>
    </row>
    <row r="7" s="156" customFormat="1" ht="24" customHeight="1" spans="1:11">
      <c r="A7" s="159" t="s">
        <v>211</v>
      </c>
      <c r="B7" s="60" t="s">
        <v>503</v>
      </c>
      <c r="C7" s="165">
        <v>50</v>
      </c>
      <c r="D7" s="60" t="s">
        <v>197</v>
      </c>
      <c r="E7" s="60" t="s">
        <v>504</v>
      </c>
      <c r="F7" s="161">
        <v>10</v>
      </c>
      <c r="G7" s="64" t="s">
        <v>505</v>
      </c>
      <c r="H7" s="64" t="s">
        <v>506</v>
      </c>
      <c r="I7" s="173" t="s">
        <v>507</v>
      </c>
      <c r="J7" s="174">
        <f t="shared" si="0"/>
        <v>10</v>
      </c>
      <c r="K7" s="175">
        <f t="shared" si="1"/>
        <v>1</v>
      </c>
    </row>
    <row r="8" s="156" customFormat="1" ht="33" customHeight="1" spans="1:11">
      <c r="A8" s="159"/>
      <c r="B8" s="60"/>
      <c r="C8" s="165"/>
      <c r="D8" s="60" t="s">
        <v>213</v>
      </c>
      <c r="E8" s="60" t="s">
        <v>508</v>
      </c>
      <c r="F8" s="161">
        <v>10</v>
      </c>
      <c r="G8" s="64" t="s">
        <v>509</v>
      </c>
      <c r="H8" s="64" t="s">
        <v>510</v>
      </c>
      <c r="I8" s="173" t="s">
        <v>511</v>
      </c>
      <c r="J8" s="174">
        <f t="shared" si="0"/>
        <v>10</v>
      </c>
      <c r="K8" s="175">
        <f t="shared" si="1"/>
        <v>1</v>
      </c>
    </row>
    <row r="9" s="156" customFormat="1" ht="32" customHeight="1" spans="1:12">
      <c r="A9" s="159"/>
      <c r="B9" s="60"/>
      <c r="C9" s="165"/>
      <c r="D9" s="60" t="s">
        <v>175</v>
      </c>
      <c r="E9" s="60" t="s">
        <v>512</v>
      </c>
      <c r="F9" s="163">
        <v>30</v>
      </c>
      <c r="G9" s="64" t="s">
        <v>513</v>
      </c>
      <c r="H9" s="164" t="s">
        <v>514</v>
      </c>
      <c r="I9" s="173" t="s">
        <v>515</v>
      </c>
      <c r="J9" s="174">
        <f t="shared" si="0"/>
        <v>30</v>
      </c>
      <c r="K9" s="175">
        <f t="shared" si="1"/>
        <v>1</v>
      </c>
      <c r="L9" s="176"/>
    </row>
    <row r="10" s="156" customFormat="1" ht="34" customHeight="1" spans="1:11">
      <c r="A10" s="159" t="s">
        <v>238</v>
      </c>
      <c r="B10" s="60" t="s">
        <v>516</v>
      </c>
      <c r="C10" s="160">
        <f>[3]Sheet2!E27</f>
        <v>100</v>
      </c>
      <c r="D10" s="60" t="s">
        <v>188</v>
      </c>
      <c r="E10" s="60" t="s">
        <v>517</v>
      </c>
      <c r="F10" s="163">
        <v>20</v>
      </c>
      <c r="G10" s="64" t="s">
        <v>518</v>
      </c>
      <c r="H10" s="64" t="s">
        <v>519</v>
      </c>
      <c r="I10" s="177" t="s">
        <v>520</v>
      </c>
      <c r="J10" s="174">
        <f t="shared" si="0"/>
        <v>20</v>
      </c>
      <c r="K10" s="175">
        <f t="shared" si="1"/>
        <v>1</v>
      </c>
    </row>
    <row r="11" s="156" customFormat="1" ht="32" customHeight="1" spans="1:11">
      <c r="A11" s="159"/>
      <c r="B11" s="60"/>
      <c r="C11" s="60"/>
      <c r="D11" s="60" t="s">
        <v>197</v>
      </c>
      <c r="E11" s="60" t="s">
        <v>521</v>
      </c>
      <c r="F11" s="163">
        <v>10</v>
      </c>
      <c r="G11" s="64" t="s">
        <v>522</v>
      </c>
      <c r="H11" s="166">
        <v>1</v>
      </c>
      <c r="I11" s="177" t="s">
        <v>523</v>
      </c>
      <c r="J11" s="174">
        <f t="shared" si="0"/>
        <v>10</v>
      </c>
      <c r="K11" s="175">
        <f t="shared" si="1"/>
        <v>1</v>
      </c>
    </row>
    <row r="12" s="156" customFormat="1" ht="37" customHeight="1" spans="1:11">
      <c r="A12" s="159"/>
      <c r="B12" s="60"/>
      <c r="C12" s="60"/>
      <c r="D12" s="60" t="s">
        <v>175</v>
      </c>
      <c r="E12" s="60" t="s">
        <v>524</v>
      </c>
      <c r="F12" s="163">
        <v>10</v>
      </c>
      <c r="G12" s="64" t="s">
        <v>525</v>
      </c>
      <c r="H12" s="166" t="s">
        <v>526</v>
      </c>
      <c r="I12" s="177" t="s">
        <v>527</v>
      </c>
      <c r="J12" s="174">
        <f t="shared" si="0"/>
        <v>10</v>
      </c>
      <c r="K12" s="175">
        <f t="shared" si="1"/>
        <v>1</v>
      </c>
    </row>
    <row r="13" s="156" customFormat="1" ht="37" customHeight="1" spans="1:11">
      <c r="A13" s="159"/>
      <c r="B13" s="60"/>
      <c r="C13" s="60"/>
      <c r="D13" s="60" t="s">
        <v>528</v>
      </c>
      <c r="E13" s="60" t="s">
        <v>529</v>
      </c>
      <c r="F13" s="163">
        <v>10</v>
      </c>
      <c r="G13" s="64" t="s">
        <v>530</v>
      </c>
      <c r="H13" s="64" t="s">
        <v>531</v>
      </c>
      <c r="I13" s="177" t="s">
        <v>532</v>
      </c>
      <c r="J13" s="174">
        <f t="shared" si="0"/>
        <v>10</v>
      </c>
      <c r="K13" s="175">
        <f t="shared" si="1"/>
        <v>1</v>
      </c>
    </row>
    <row r="14" s="156" customFormat="1" ht="25" customHeight="1" spans="1:12">
      <c r="A14" s="159" t="s">
        <v>255</v>
      </c>
      <c r="B14" s="60" t="s">
        <v>533</v>
      </c>
      <c r="C14" s="160">
        <f>[3]Sheet2!E28</f>
        <v>120</v>
      </c>
      <c r="D14" s="60" t="s">
        <v>188</v>
      </c>
      <c r="E14" s="60" t="s">
        <v>534</v>
      </c>
      <c r="F14" s="163">
        <v>10</v>
      </c>
      <c r="G14" s="64" t="s">
        <v>535</v>
      </c>
      <c r="H14" s="64" t="s">
        <v>536</v>
      </c>
      <c r="I14" s="173" t="s">
        <v>537</v>
      </c>
      <c r="J14" s="174">
        <f t="shared" si="0"/>
        <v>10</v>
      </c>
      <c r="K14" s="175">
        <f t="shared" si="1"/>
        <v>1</v>
      </c>
      <c r="L14" s="176"/>
    </row>
    <row r="15" s="156" customFormat="1" ht="25" customHeight="1" spans="1:12">
      <c r="A15" s="159"/>
      <c r="B15" s="60"/>
      <c r="C15" s="60"/>
      <c r="D15" s="60" t="s">
        <v>188</v>
      </c>
      <c r="E15" s="60" t="s">
        <v>538</v>
      </c>
      <c r="F15" s="163">
        <v>10</v>
      </c>
      <c r="G15" s="64" t="s">
        <v>539</v>
      </c>
      <c r="H15" s="64" t="s">
        <v>540</v>
      </c>
      <c r="I15" s="173" t="s">
        <v>541</v>
      </c>
      <c r="J15" s="174">
        <f t="shared" si="0"/>
        <v>10</v>
      </c>
      <c r="K15" s="175">
        <f t="shared" si="1"/>
        <v>1</v>
      </c>
      <c r="L15" s="176"/>
    </row>
    <row r="16" s="156" customFormat="1" ht="46" customHeight="1" spans="1:11">
      <c r="A16" s="159"/>
      <c r="B16" s="60"/>
      <c r="C16" s="60"/>
      <c r="D16" s="60" t="s">
        <v>175</v>
      </c>
      <c r="E16" s="60" t="s">
        <v>542</v>
      </c>
      <c r="F16" s="163">
        <v>15</v>
      </c>
      <c r="G16" s="64" t="s">
        <v>543</v>
      </c>
      <c r="H16" s="64" t="s">
        <v>544</v>
      </c>
      <c r="I16" s="173" t="s">
        <v>545</v>
      </c>
      <c r="J16" s="174">
        <f t="shared" si="0"/>
        <v>15</v>
      </c>
      <c r="K16" s="175">
        <f t="shared" si="1"/>
        <v>1</v>
      </c>
    </row>
    <row r="17" s="156" customFormat="1" ht="33" customHeight="1" spans="1:12">
      <c r="A17" s="159"/>
      <c r="B17" s="60"/>
      <c r="C17" s="60"/>
      <c r="D17" s="60" t="s">
        <v>175</v>
      </c>
      <c r="E17" s="60" t="s">
        <v>546</v>
      </c>
      <c r="F17" s="163">
        <v>15</v>
      </c>
      <c r="G17" s="167" t="s">
        <v>547</v>
      </c>
      <c r="H17" s="64" t="s">
        <v>548</v>
      </c>
      <c r="I17" s="64" t="s">
        <v>549</v>
      </c>
      <c r="J17" s="174">
        <v>8</v>
      </c>
      <c r="K17" s="175">
        <f t="shared" si="1"/>
        <v>0.533333333333333</v>
      </c>
      <c r="L17" s="156" t="s">
        <v>550</v>
      </c>
    </row>
    <row r="18" s="156" customFormat="1" ht="34" customHeight="1" spans="1:11">
      <c r="A18" s="159" t="s">
        <v>268</v>
      </c>
      <c r="B18" s="60" t="s">
        <v>551</v>
      </c>
      <c r="C18" s="160">
        <f>[3]Sheet2!E29</f>
        <v>80</v>
      </c>
      <c r="D18" s="60" t="s">
        <v>188</v>
      </c>
      <c r="E18" s="60" t="s">
        <v>552</v>
      </c>
      <c r="F18" s="163">
        <v>10</v>
      </c>
      <c r="G18" s="64" t="s">
        <v>553</v>
      </c>
      <c r="H18" s="64" t="s">
        <v>554</v>
      </c>
      <c r="I18" s="173" t="s">
        <v>555</v>
      </c>
      <c r="J18" s="174">
        <f t="shared" ref="J18:J27" si="2">F18</f>
        <v>10</v>
      </c>
      <c r="K18" s="175">
        <f t="shared" si="1"/>
        <v>1</v>
      </c>
    </row>
    <row r="19" s="156" customFormat="1" ht="35" customHeight="1" spans="1:12">
      <c r="A19" s="159"/>
      <c r="B19" s="60"/>
      <c r="C19" s="60"/>
      <c r="D19" s="60" t="s">
        <v>197</v>
      </c>
      <c r="E19" s="60" t="s">
        <v>556</v>
      </c>
      <c r="F19" s="163">
        <v>10</v>
      </c>
      <c r="G19" s="64" t="s">
        <v>557</v>
      </c>
      <c r="H19" s="64" t="s">
        <v>558</v>
      </c>
      <c r="I19" s="173" t="s">
        <v>559</v>
      </c>
      <c r="J19" s="174">
        <v>5</v>
      </c>
      <c r="K19" s="175">
        <f t="shared" si="1"/>
        <v>0.5</v>
      </c>
      <c r="L19" s="156" t="s">
        <v>550</v>
      </c>
    </row>
    <row r="20" s="156" customFormat="1" ht="40.5" spans="1:11">
      <c r="A20" s="159"/>
      <c r="B20" s="60"/>
      <c r="C20" s="60"/>
      <c r="D20" s="60" t="s">
        <v>175</v>
      </c>
      <c r="E20" s="60" t="s">
        <v>560</v>
      </c>
      <c r="F20" s="163">
        <v>15</v>
      </c>
      <c r="G20" s="64" t="s">
        <v>561</v>
      </c>
      <c r="H20" s="164" t="s">
        <v>562</v>
      </c>
      <c r="I20" s="64" t="s">
        <v>563</v>
      </c>
      <c r="J20" s="174">
        <f t="shared" si="2"/>
        <v>15</v>
      </c>
      <c r="K20" s="175">
        <f t="shared" si="1"/>
        <v>1</v>
      </c>
    </row>
    <row r="21" s="156" customFormat="1" ht="35" customHeight="1" spans="1:12">
      <c r="A21" s="159"/>
      <c r="B21" s="60"/>
      <c r="C21" s="60"/>
      <c r="D21" s="60" t="s">
        <v>175</v>
      </c>
      <c r="E21" s="60" t="s">
        <v>564</v>
      </c>
      <c r="F21" s="163">
        <v>15</v>
      </c>
      <c r="G21" s="64" t="s">
        <v>565</v>
      </c>
      <c r="H21" s="164" t="s">
        <v>566</v>
      </c>
      <c r="I21" s="64" t="s">
        <v>567</v>
      </c>
      <c r="J21" s="174">
        <v>7</v>
      </c>
      <c r="K21" s="175">
        <f t="shared" si="1"/>
        <v>0.466666666666667</v>
      </c>
      <c r="L21" s="156" t="s">
        <v>568</v>
      </c>
    </row>
    <row r="22" s="156" customFormat="1" ht="32" customHeight="1" spans="1:11">
      <c r="A22" s="159" t="s">
        <v>284</v>
      </c>
      <c r="B22" s="60" t="s">
        <v>569</v>
      </c>
      <c r="C22" s="160">
        <f>[3]Sheet2!E30</f>
        <v>100</v>
      </c>
      <c r="D22" s="60" t="s">
        <v>188</v>
      </c>
      <c r="E22" s="60" t="s">
        <v>570</v>
      </c>
      <c r="F22" s="163">
        <v>10</v>
      </c>
      <c r="G22" s="64" t="s">
        <v>571</v>
      </c>
      <c r="H22" s="164" t="s">
        <v>572</v>
      </c>
      <c r="I22" s="64" t="s">
        <v>573</v>
      </c>
      <c r="J22" s="174">
        <f t="shared" si="2"/>
        <v>10</v>
      </c>
      <c r="K22" s="175">
        <f t="shared" si="1"/>
        <v>1</v>
      </c>
    </row>
    <row r="23" s="156" customFormat="1" ht="42" customHeight="1" spans="1:11">
      <c r="A23" s="159"/>
      <c r="B23" s="60"/>
      <c r="C23" s="160"/>
      <c r="D23" s="60" t="s">
        <v>197</v>
      </c>
      <c r="E23" s="60" t="s">
        <v>556</v>
      </c>
      <c r="F23" s="163">
        <v>10</v>
      </c>
      <c r="G23" s="64" t="s">
        <v>574</v>
      </c>
      <c r="H23" s="164" t="s">
        <v>575</v>
      </c>
      <c r="I23" s="173" t="s">
        <v>576</v>
      </c>
      <c r="J23" s="174">
        <f t="shared" si="2"/>
        <v>10</v>
      </c>
      <c r="K23" s="175">
        <f t="shared" si="1"/>
        <v>1</v>
      </c>
    </row>
    <row r="24" s="156" customFormat="1" ht="39" customHeight="1" spans="1:11">
      <c r="A24" s="159"/>
      <c r="B24" s="60"/>
      <c r="C24" s="160"/>
      <c r="D24" s="60" t="s">
        <v>170</v>
      </c>
      <c r="E24" s="60" t="s">
        <v>171</v>
      </c>
      <c r="F24" s="163">
        <v>15</v>
      </c>
      <c r="G24" s="64" t="s">
        <v>577</v>
      </c>
      <c r="H24" s="164" t="s">
        <v>578</v>
      </c>
      <c r="I24" s="64" t="s">
        <v>579</v>
      </c>
      <c r="J24" s="174">
        <f t="shared" si="2"/>
        <v>15</v>
      </c>
      <c r="K24" s="175">
        <f t="shared" si="1"/>
        <v>1</v>
      </c>
    </row>
    <row r="25" s="156" customFormat="1" ht="30" customHeight="1" spans="1:11">
      <c r="A25" s="159"/>
      <c r="B25" s="60"/>
      <c r="C25" s="160"/>
      <c r="D25" s="60" t="s">
        <v>175</v>
      </c>
      <c r="E25" s="60" t="s">
        <v>580</v>
      </c>
      <c r="F25" s="163">
        <v>15</v>
      </c>
      <c r="G25" s="64" t="s">
        <v>581</v>
      </c>
      <c r="H25" s="164" t="s">
        <v>582</v>
      </c>
      <c r="I25" s="64" t="s">
        <v>583</v>
      </c>
      <c r="J25" s="174">
        <f t="shared" si="2"/>
        <v>15</v>
      </c>
      <c r="K25" s="175">
        <f t="shared" si="1"/>
        <v>1</v>
      </c>
    </row>
    <row r="26" s="156" customFormat="1" ht="23" customHeight="1" spans="1:11">
      <c r="A26" s="159" t="s">
        <v>584</v>
      </c>
      <c r="B26" s="60" t="s">
        <v>585</v>
      </c>
      <c r="C26" s="160">
        <f>[3]Sheet2!E31</f>
        <v>840</v>
      </c>
      <c r="D26" s="60" t="s">
        <v>188</v>
      </c>
      <c r="E26" s="60" t="s">
        <v>586</v>
      </c>
      <c r="F26" s="163">
        <v>15</v>
      </c>
      <c r="G26" s="64" t="s">
        <v>587</v>
      </c>
      <c r="H26" s="164" t="s">
        <v>588</v>
      </c>
      <c r="I26" s="64" t="s">
        <v>589</v>
      </c>
      <c r="J26" s="174">
        <f t="shared" si="2"/>
        <v>15</v>
      </c>
      <c r="K26" s="175">
        <f t="shared" si="1"/>
        <v>1</v>
      </c>
    </row>
    <row r="27" s="156" customFormat="1" ht="29" customHeight="1" spans="1:11">
      <c r="A27" s="159"/>
      <c r="B27" s="60"/>
      <c r="C27" s="160"/>
      <c r="D27" s="60" t="s">
        <v>197</v>
      </c>
      <c r="E27" s="60" t="s">
        <v>590</v>
      </c>
      <c r="F27" s="163">
        <v>15</v>
      </c>
      <c r="G27" s="64" t="s">
        <v>591</v>
      </c>
      <c r="H27" s="164">
        <v>1</v>
      </c>
      <c r="I27" s="64" t="s">
        <v>592</v>
      </c>
      <c r="J27" s="174">
        <f t="shared" si="2"/>
        <v>15</v>
      </c>
      <c r="K27" s="175">
        <f t="shared" si="1"/>
        <v>1</v>
      </c>
    </row>
    <row r="28" s="156" customFormat="1" ht="34" customHeight="1" spans="1:12">
      <c r="A28" s="159"/>
      <c r="B28" s="60"/>
      <c r="C28" s="160"/>
      <c r="D28" s="60" t="s">
        <v>175</v>
      </c>
      <c r="E28" s="60" t="s">
        <v>593</v>
      </c>
      <c r="F28" s="163">
        <v>5</v>
      </c>
      <c r="G28" s="64" t="s">
        <v>594</v>
      </c>
      <c r="H28" s="164" t="s">
        <v>595</v>
      </c>
      <c r="I28" s="64" t="s">
        <v>596</v>
      </c>
      <c r="J28" s="174">
        <v>0</v>
      </c>
      <c r="K28" s="175">
        <f t="shared" si="1"/>
        <v>0</v>
      </c>
      <c r="L28" s="156" t="s">
        <v>597</v>
      </c>
    </row>
    <row r="29" s="156" customFormat="1" ht="36" customHeight="1" spans="1:12">
      <c r="A29" s="159"/>
      <c r="B29" s="60"/>
      <c r="C29" s="160"/>
      <c r="D29" s="60" t="s">
        <v>175</v>
      </c>
      <c r="E29" s="60" t="s">
        <v>598</v>
      </c>
      <c r="F29" s="163">
        <v>5</v>
      </c>
      <c r="G29" s="64" t="s">
        <v>599</v>
      </c>
      <c r="H29" s="164" t="s">
        <v>600</v>
      </c>
      <c r="I29" s="64" t="s">
        <v>601</v>
      </c>
      <c r="J29" s="174">
        <v>0</v>
      </c>
      <c r="K29" s="175">
        <f t="shared" si="1"/>
        <v>0</v>
      </c>
      <c r="L29" s="156" t="s">
        <v>597</v>
      </c>
    </row>
    <row r="30" s="156" customFormat="1" ht="35" customHeight="1" spans="1:12">
      <c r="A30" s="159"/>
      <c r="B30" s="60"/>
      <c r="C30" s="160"/>
      <c r="D30" s="60" t="s">
        <v>170</v>
      </c>
      <c r="E30" s="60" t="s">
        <v>171</v>
      </c>
      <c r="F30" s="163">
        <v>10</v>
      </c>
      <c r="G30" s="64" t="s">
        <v>602</v>
      </c>
      <c r="H30" s="164"/>
      <c r="I30" s="64" t="s">
        <v>603</v>
      </c>
      <c r="J30" s="174">
        <v>0</v>
      </c>
      <c r="K30" s="175">
        <f t="shared" si="1"/>
        <v>0</v>
      </c>
      <c r="L30" s="156" t="s">
        <v>597</v>
      </c>
    </row>
    <row r="31" s="156" customFormat="1" ht="39" customHeight="1" spans="1:11">
      <c r="A31" s="159" t="s">
        <v>604</v>
      </c>
      <c r="B31" s="60" t="s">
        <v>605</v>
      </c>
      <c r="C31" s="160">
        <f>[3]Sheet2!E32</f>
        <v>250</v>
      </c>
      <c r="D31" s="168" t="s">
        <v>188</v>
      </c>
      <c r="E31" s="60" t="s">
        <v>606</v>
      </c>
      <c r="F31" s="163">
        <v>10</v>
      </c>
      <c r="G31" s="64" t="s">
        <v>607</v>
      </c>
      <c r="H31" s="164" t="s">
        <v>608</v>
      </c>
      <c r="I31" s="64" t="s">
        <v>609</v>
      </c>
      <c r="J31" s="174">
        <f t="shared" ref="J31:J64" si="3">F31</f>
        <v>10</v>
      </c>
      <c r="K31" s="175">
        <f t="shared" si="1"/>
        <v>1</v>
      </c>
    </row>
    <row r="32" s="156" customFormat="1" ht="39" customHeight="1" spans="1:11">
      <c r="A32" s="159"/>
      <c r="B32" s="60"/>
      <c r="C32" s="60"/>
      <c r="D32" s="60" t="s">
        <v>197</v>
      </c>
      <c r="E32" s="60" t="s">
        <v>590</v>
      </c>
      <c r="F32" s="169">
        <v>10</v>
      </c>
      <c r="G32" s="64" t="s">
        <v>610</v>
      </c>
      <c r="H32" s="164">
        <v>1</v>
      </c>
      <c r="I32" s="64" t="s">
        <v>592</v>
      </c>
      <c r="J32" s="174">
        <f t="shared" si="3"/>
        <v>10</v>
      </c>
      <c r="K32" s="175">
        <f t="shared" si="1"/>
        <v>1</v>
      </c>
    </row>
    <row r="33" s="156" customFormat="1" ht="38" customHeight="1" spans="1:11">
      <c r="A33" s="159"/>
      <c r="B33" s="60"/>
      <c r="C33" s="60"/>
      <c r="D33" s="60" t="s">
        <v>175</v>
      </c>
      <c r="E33" s="60" t="s">
        <v>593</v>
      </c>
      <c r="F33" s="163">
        <v>30</v>
      </c>
      <c r="G33" s="64" t="s">
        <v>611</v>
      </c>
      <c r="H33" s="164" t="s">
        <v>612</v>
      </c>
      <c r="I33" s="64" t="s">
        <v>613</v>
      </c>
      <c r="J33" s="174">
        <f t="shared" si="3"/>
        <v>30</v>
      </c>
      <c r="K33" s="175">
        <f t="shared" si="1"/>
        <v>1</v>
      </c>
    </row>
    <row r="34" s="156" customFormat="1" ht="28.05" customHeight="1" spans="1:11">
      <c r="A34" s="159" t="s">
        <v>614</v>
      </c>
      <c r="B34" s="60" t="s">
        <v>615</v>
      </c>
      <c r="C34" s="160">
        <f>[3]Sheet2!E33</f>
        <v>260</v>
      </c>
      <c r="D34" s="60" t="s">
        <v>188</v>
      </c>
      <c r="E34" s="60" t="s">
        <v>616</v>
      </c>
      <c r="F34" s="163">
        <v>10</v>
      </c>
      <c r="G34" s="64" t="s">
        <v>617</v>
      </c>
      <c r="H34" s="164" t="s">
        <v>618</v>
      </c>
      <c r="I34" s="64" t="s">
        <v>619</v>
      </c>
      <c r="J34" s="174">
        <f t="shared" si="3"/>
        <v>10</v>
      </c>
      <c r="K34" s="175">
        <f t="shared" si="1"/>
        <v>1</v>
      </c>
    </row>
    <row r="35" s="156" customFormat="1" ht="35" customHeight="1" spans="1:11">
      <c r="A35" s="159"/>
      <c r="B35" s="60"/>
      <c r="C35" s="60"/>
      <c r="D35" s="60" t="s">
        <v>197</v>
      </c>
      <c r="E35" s="60" t="s">
        <v>620</v>
      </c>
      <c r="F35" s="163">
        <v>10</v>
      </c>
      <c r="G35" s="64" t="s">
        <v>621</v>
      </c>
      <c r="H35" s="164" t="s">
        <v>622</v>
      </c>
      <c r="I35" s="64" t="s">
        <v>623</v>
      </c>
      <c r="J35" s="174">
        <f t="shared" si="3"/>
        <v>10</v>
      </c>
      <c r="K35" s="175">
        <f t="shared" si="1"/>
        <v>1</v>
      </c>
    </row>
    <row r="36" s="156" customFormat="1" ht="33" customHeight="1" spans="1:11">
      <c r="A36" s="159"/>
      <c r="B36" s="60"/>
      <c r="C36" s="60"/>
      <c r="D36" s="60" t="s">
        <v>175</v>
      </c>
      <c r="E36" s="168" t="s">
        <v>624</v>
      </c>
      <c r="F36" s="163">
        <v>10</v>
      </c>
      <c r="G36" s="64" t="s">
        <v>625</v>
      </c>
      <c r="H36" s="164" t="s">
        <v>626</v>
      </c>
      <c r="I36" s="64" t="s">
        <v>627</v>
      </c>
      <c r="J36" s="174">
        <f t="shared" si="3"/>
        <v>10</v>
      </c>
      <c r="K36" s="175">
        <f t="shared" si="1"/>
        <v>1</v>
      </c>
    </row>
    <row r="37" s="156" customFormat="1" ht="43" customHeight="1" spans="1:11">
      <c r="A37" s="159"/>
      <c r="B37" s="60"/>
      <c r="C37" s="60"/>
      <c r="D37" s="60" t="s">
        <v>170</v>
      </c>
      <c r="E37" s="60" t="s">
        <v>628</v>
      </c>
      <c r="F37" s="163">
        <v>10</v>
      </c>
      <c r="G37" s="64" t="s">
        <v>629</v>
      </c>
      <c r="H37" s="164" t="s">
        <v>630</v>
      </c>
      <c r="I37" s="64" t="s">
        <v>631</v>
      </c>
      <c r="J37" s="174">
        <f t="shared" si="3"/>
        <v>10</v>
      </c>
      <c r="K37" s="175">
        <f t="shared" si="1"/>
        <v>1</v>
      </c>
    </row>
    <row r="38" s="156" customFormat="1" ht="40" customHeight="1" spans="1:11">
      <c r="A38" s="159"/>
      <c r="B38" s="60"/>
      <c r="C38" s="60"/>
      <c r="D38" s="60" t="s">
        <v>170</v>
      </c>
      <c r="E38" s="60" t="s">
        <v>632</v>
      </c>
      <c r="F38" s="163">
        <v>10</v>
      </c>
      <c r="G38" s="64" t="s">
        <v>633</v>
      </c>
      <c r="H38" s="164" t="s">
        <v>634</v>
      </c>
      <c r="I38" s="64" t="s">
        <v>635</v>
      </c>
      <c r="J38" s="174">
        <f t="shared" si="3"/>
        <v>10</v>
      </c>
      <c r="K38" s="175">
        <f t="shared" si="1"/>
        <v>1</v>
      </c>
    </row>
    <row r="39" s="156" customFormat="1" ht="39" customHeight="1" spans="1:11">
      <c r="A39" s="159" t="s">
        <v>636</v>
      </c>
      <c r="B39" s="60" t="s">
        <v>637</v>
      </c>
      <c r="C39" s="160">
        <f>[3]Sheet2!E34</f>
        <v>700</v>
      </c>
      <c r="D39" s="60" t="s">
        <v>188</v>
      </c>
      <c r="E39" s="60" t="s">
        <v>638</v>
      </c>
      <c r="F39" s="163">
        <v>10</v>
      </c>
      <c r="G39" s="64" t="s">
        <v>639</v>
      </c>
      <c r="H39" s="164" t="s">
        <v>640</v>
      </c>
      <c r="I39" s="64" t="s">
        <v>641</v>
      </c>
      <c r="J39" s="174">
        <f t="shared" si="3"/>
        <v>10</v>
      </c>
      <c r="K39" s="175">
        <f t="shared" si="1"/>
        <v>1</v>
      </c>
    </row>
    <row r="40" s="156" customFormat="1" ht="39" customHeight="1" spans="1:11">
      <c r="A40" s="159"/>
      <c r="B40" s="60"/>
      <c r="C40" s="160"/>
      <c r="D40" s="60" t="s">
        <v>175</v>
      </c>
      <c r="E40" s="60" t="s">
        <v>642</v>
      </c>
      <c r="F40" s="163">
        <v>10</v>
      </c>
      <c r="G40" s="64" t="s">
        <v>643</v>
      </c>
      <c r="H40" s="164" t="s">
        <v>644</v>
      </c>
      <c r="I40" s="64" t="s">
        <v>645</v>
      </c>
      <c r="J40" s="174">
        <f t="shared" si="3"/>
        <v>10</v>
      </c>
      <c r="K40" s="175">
        <f t="shared" si="1"/>
        <v>1</v>
      </c>
    </row>
    <row r="41" s="156" customFormat="1" ht="39" customHeight="1" spans="1:11">
      <c r="A41" s="159"/>
      <c r="B41" s="60"/>
      <c r="C41" s="160"/>
      <c r="D41" s="60" t="s">
        <v>175</v>
      </c>
      <c r="E41" s="60" t="s">
        <v>593</v>
      </c>
      <c r="F41" s="163">
        <v>10</v>
      </c>
      <c r="G41" s="64" t="s">
        <v>646</v>
      </c>
      <c r="H41" s="64" t="s">
        <v>371</v>
      </c>
      <c r="I41" s="173" t="s">
        <v>647</v>
      </c>
      <c r="J41" s="174">
        <f t="shared" si="3"/>
        <v>10</v>
      </c>
      <c r="K41" s="175">
        <f t="shared" si="1"/>
        <v>1</v>
      </c>
    </row>
    <row r="42" s="156" customFormat="1" ht="39" customHeight="1" spans="1:11">
      <c r="A42" s="159"/>
      <c r="B42" s="60"/>
      <c r="C42" s="160"/>
      <c r="D42" s="60" t="s">
        <v>175</v>
      </c>
      <c r="E42" s="60" t="s">
        <v>648</v>
      </c>
      <c r="F42" s="163">
        <v>10</v>
      </c>
      <c r="G42" s="64" t="s">
        <v>649</v>
      </c>
      <c r="H42" s="64" t="s">
        <v>650</v>
      </c>
      <c r="I42" s="173" t="s">
        <v>651</v>
      </c>
      <c r="J42" s="174">
        <f t="shared" si="3"/>
        <v>10</v>
      </c>
      <c r="K42" s="175">
        <f t="shared" si="1"/>
        <v>1</v>
      </c>
    </row>
    <row r="43" s="156" customFormat="1" ht="30.6" customHeight="1" spans="1:11">
      <c r="A43" s="159"/>
      <c r="B43" s="60"/>
      <c r="C43" s="160"/>
      <c r="D43" s="60" t="s">
        <v>175</v>
      </c>
      <c r="E43" s="60" t="s">
        <v>652</v>
      </c>
      <c r="F43" s="163">
        <v>10</v>
      </c>
      <c r="G43" s="64" t="s">
        <v>653</v>
      </c>
      <c r="H43" s="64" t="s">
        <v>654</v>
      </c>
      <c r="I43" s="173" t="s">
        <v>655</v>
      </c>
      <c r="J43" s="174">
        <f t="shared" si="3"/>
        <v>10</v>
      </c>
      <c r="K43" s="175">
        <f t="shared" si="1"/>
        <v>1</v>
      </c>
    </row>
    <row r="44" s="156" customFormat="1" ht="36" customHeight="1" spans="1:11">
      <c r="A44" s="159" t="s">
        <v>656</v>
      </c>
      <c r="B44" s="60" t="s">
        <v>657</v>
      </c>
      <c r="C44" s="160">
        <f>[3]Sheet2!E35</f>
        <v>1100</v>
      </c>
      <c r="D44" s="60" t="s">
        <v>188</v>
      </c>
      <c r="E44" s="60" t="s">
        <v>658</v>
      </c>
      <c r="F44" s="163">
        <v>5</v>
      </c>
      <c r="G44" s="64" t="s">
        <v>659</v>
      </c>
      <c r="H44" s="64" t="s">
        <v>660</v>
      </c>
      <c r="I44" s="64" t="s">
        <v>661</v>
      </c>
      <c r="J44" s="174">
        <f t="shared" si="3"/>
        <v>5</v>
      </c>
      <c r="K44" s="175">
        <f t="shared" si="1"/>
        <v>1</v>
      </c>
    </row>
    <row r="45" s="156" customFormat="1" ht="31.95" customHeight="1" spans="1:11">
      <c r="A45" s="159"/>
      <c r="B45" s="60"/>
      <c r="C45" s="60"/>
      <c r="D45" s="60" t="s">
        <v>197</v>
      </c>
      <c r="E45" s="60" t="s">
        <v>662</v>
      </c>
      <c r="F45" s="163">
        <v>5</v>
      </c>
      <c r="G45" s="64" t="s">
        <v>663</v>
      </c>
      <c r="H45" s="64" t="s">
        <v>664</v>
      </c>
      <c r="I45" s="64" t="s">
        <v>665</v>
      </c>
      <c r="J45" s="174">
        <f t="shared" si="3"/>
        <v>5</v>
      </c>
      <c r="K45" s="175">
        <f t="shared" si="1"/>
        <v>1</v>
      </c>
    </row>
    <row r="46" s="156" customFormat="1" ht="31.95" customHeight="1" spans="1:12">
      <c r="A46" s="159"/>
      <c r="B46" s="60"/>
      <c r="C46" s="60"/>
      <c r="D46" s="60" t="s">
        <v>170</v>
      </c>
      <c r="E46" s="60" t="s">
        <v>666</v>
      </c>
      <c r="F46" s="163">
        <v>10</v>
      </c>
      <c r="G46" s="64" t="s">
        <v>667</v>
      </c>
      <c r="H46" s="64" t="s">
        <v>668</v>
      </c>
      <c r="I46" s="64" t="s">
        <v>669</v>
      </c>
      <c r="J46" s="174">
        <f t="shared" si="3"/>
        <v>10</v>
      </c>
      <c r="K46" s="175">
        <f t="shared" si="1"/>
        <v>1</v>
      </c>
      <c r="L46" s="178"/>
    </row>
    <row r="47" s="156" customFormat="1" ht="38.4" customHeight="1" spans="1:12">
      <c r="A47" s="159"/>
      <c r="B47" s="60"/>
      <c r="C47" s="60"/>
      <c r="D47" s="60" t="s">
        <v>170</v>
      </c>
      <c r="E47" s="60" t="s">
        <v>670</v>
      </c>
      <c r="F47" s="163">
        <v>10</v>
      </c>
      <c r="G47" s="64" t="s">
        <v>671</v>
      </c>
      <c r="H47" s="64" t="s">
        <v>672</v>
      </c>
      <c r="I47" s="64" t="s">
        <v>673</v>
      </c>
      <c r="J47" s="174">
        <f t="shared" si="3"/>
        <v>10</v>
      </c>
      <c r="K47" s="175">
        <f t="shared" si="1"/>
        <v>1</v>
      </c>
      <c r="L47" s="178"/>
    </row>
    <row r="48" s="156" customFormat="1" ht="38.4" customHeight="1" spans="1:11">
      <c r="A48" s="159"/>
      <c r="B48" s="60"/>
      <c r="C48" s="60"/>
      <c r="D48" s="60" t="s">
        <v>175</v>
      </c>
      <c r="E48" s="60" t="s">
        <v>674</v>
      </c>
      <c r="F48" s="163">
        <v>20</v>
      </c>
      <c r="G48" s="64" t="s">
        <v>675</v>
      </c>
      <c r="H48" s="64" t="s">
        <v>640</v>
      </c>
      <c r="I48" s="64" t="s">
        <v>676</v>
      </c>
      <c r="J48" s="174">
        <f t="shared" si="3"/>
        <v>20</v>
      </c>
      <c r="K48" s="175">
        <f t="shared" si="1"/>
        <v>1</v>
      </c>
    </row>
    <row r="49" ht="34" customHeight="1" spans="1:11">
      <c r="A49" s="170" t="s">
        <v>677</v>
      </c>
      <c r="B49" s="60" t="s">
        <v>678</v>
      </c>
      <c r="C49" s="160">
        <f>[3]Sheet2!E36</f>
        <v>1000</v>
      </c>
      <c r="D49" s="59" t="s">
        <v>213</v>
      </c>
      <c r="E49" s="59" t="s">
        <v>679</v>
      </c>
      <c r="F49" s="171">
        <v>20</v>
      </c>
      <c r="G49" s="88" t="s">
        <v>680</v>
      </c>
      <c r="H49" s="88" t="s">
        <v>681</v>
      </c>
      <c r="I49" s="90" t="s">
        <v>682</v>
      </c>
      <c r="J49" s="87">
        <f t="shared" si="3"/>
        <v>20</v>
      </c>
      <c r="K49" s="111">
        <f t="shared" si="1"/>
        <v>1</v>
      </c>
    </row>
    <row r="50" ht="35" customHeight="1" spans="1:11">
      <c r="A50" s="170"/>
      <c r="B50" s="60"/>
      <c r="C50" s="160"/>
      <c r="D50" s="59" t="s">
        <v>197</v>
      </c>
      <c r="E50" s="59" t="s">
        <v>683</v>
      </c>
      <c r="F50" s="171">
        <v>20</v>
      </c>
      <c r="G50" s="88" t="s">
        <v>684</v>
      </c>
      <c r="H50" s="166">
        <v>1</v>
      </c>
      <c r="I50" s="90" t="s">
        <v>685</v>
      </c>
      <c r="J50" s="87">
        <f t="shared" si="3"/>
        <v>20</v>
      </c>
      <c r="K50" s="111">
        <f t="shared" si="1"/>
        <v>1</v>
      </c>
    </row>
    <row r="51" ht="31.05" customHeight="1" spans="1:11">
      <c r="A51" s="170"/>
      <c r="B51" s="60"/>
      <c r="C51" s="160"/>
      <c r="D51" s="59" t="s">
        <v>686</v>
      </c>
      <c r="E51" s="59" t="s">
        <v>687</v>
      </c>
      <c r="F51" s="171">
        <v>10</v>
      </c>
      <c r="G51" s="88" t="s">
        <v>688</v>
      </c>
      <c r="H51" s="88" t="s">
        <v>689</v>
      </c>
      <c r="I51" s="90" t="s">
        <v>690</v>
      </c>
      <c r="J51" s="87">
        <f t="shared" si="3"/>
        <v>10</v>
      </c>
      <c r="K51" s="111">
        <f t="shared" si="1"/>
        <v>1</v>
      </c>
    </row>
    <row r="52" ht="37.95" customHeight="1" spans="1:11">
      <c r="A52" s="170" t="s">
        <v>691</v>
      </c>
      <c r="B52" s="59" t="s">
        <v>692</v>
      </c>
      <c r="C52" s="172">
        <f>[3]Sheet2!E37+[3]Sheet2!E38+[3]Sheet2!E39+[3]Sheet2!E40+[3]Sheet2!E41+[3]Sheet2!E42+[3]Sheet2!E43+[3]Sheet2!E44+[3]Sheet2!E45</f>
        <v>1230</v>
      </c>
      <c r="D52" s="95" t="s">
        <v>188</v>
      </c>
      <c r="E52" s="59" t="s">
        <v>693</v>
      </c>
      <c r="F52" s="171">
        <v>5</v>
      </c>
      <c r="G52" s="88" t="s">
        <v>694</v>
      </c>
      <c r="H52" s="166">
        <v>1</v>
      </c>
      <c r="I52" s="90" t="s">
        <v>695</v>
      </c>
      <c r="J52" s="87">
        <f t="shared" si="3"/>
        <v>5</v>
      </c>
      <c r="K52" s="111">
        <f t="shared" si="1"/>
        <v>1</v>
      </c>
    </row>
    <row r="53" ht="37.95" customHeight="1" spans="1:12">
      <c r="A53" s="170"/>
      <c r="B53" s="59"/>
      <c r="C53" s="59"/>
      <c r="D53" s="95" t="s">
        <v>175</v>
      </c>
      <c r="E53" s="59" t="s">
        <v>696</v>
      </c>
      <c r="F53" s="171">
        <v>5</v>
      </c>
      <c r="G53" s="88" t="s">
        <v>697</v>
      </c>
      <c r="H53" s="64" t="s">
        <v>698</v>
      </c>
      <c r="I53" s="90" t="s">
        <v>699</v>
      </c>
      <c r="J53" s="87">
        <f t="shared" si="3"/>
        <v>5</v>
      </c>
      <c r="K53" s="111">
        <f t="shared" si="1"/>
        <v>1</v>
      </c>
      <c r="L53" s="179" t="s">
        <v>700</v>
      </c>
    </row>
    <row r="54" ht="47.4" customHeight="1" spans="1:12">
      <c r="A54" s="170"/>
      <c r="B54" s="59"/>
      <c r="C54" s="59"/>
      <c r="D54" s="95" t="s">
        <v>175</v>
      </c>
      <c r="E54" s="59" t="s">
        <v>701</v>
      </c>
      <c r="F54" s="171">
        <v>5</v>
      </c>
      <c r="G54" s="88" t="s">
        <v>702</v>
      </c>
      <c r="H54" s="64" t="s">
        <v>703</v>
      </c>
      <c r="I54" s="90" t="s">
        <v>704</v>
      </c>
      <c r="J54" s="87">
        <f t="shared" si="3"/>
        <v>5</v>
      </c>
      <c r="K54" s="111">
        <f t="shared" si="1"/>
        <v>1</v>
      </c>
      <c r="L54" s="179" t="s">
        <v>700</v>
      </c>
    </row>
    <row r="55" ht="60" customHeight="1" spans="1:12">
      <c r="A55" s="170"/>
      <c r="B55" s="59"/>
      <c r="C55" s="59"/>
      <c r="D55" s="95" t="s">
        <v>175</v>
      </c>
      <c r="E55" s="59" t="s">
        <v>705</v>
      </c>
      <c r="F55" s="171">
        <v>5</v>
      </c>
      <c r="G55" s="59" t="s">
        <v>706</v>
      </c>
      <c r="H55" s="64" t="s">
        <v>707</v>
      </c>
      <c r="I55" s="90" t="s">
        <v>708</v>
      </c>
      <c r="J55" s="87">
        <f t="shared" si="3"/>
        <v>5</v>
      </c>
      <c r="K55" s="111">
        <f t="shared" si="1"/>
        <v>1</v>
      </c>
      <c r="L55" s="179" t="s">
        <v>709</v>
      </c>
    </row>
    <row r="56" ht="46.2" customHeight="1" spans="1:12">
      <c r="A56" s="170"/>
      <c r="B56" s="59"/>
      <c r="C56" s="59"/>
      <c r="D56" s="95" t="s">
        <v>175</v>
      </c>
      <c r="E56" s="59" t="s">
        <v>710</v>
      </c>
      <c r="F56" s="171">
        <v>5</v>
      </c>
      <c r="G56" s="88" t="s">
        <v>711</v>
      </c>
      <c r="H56" s="64" t="s">
        <v>712</v>
      </c>
      <c r="I56" s="88" t="s">
        <v>713</v>
      </c>
      <c r="J56" s="87">
        <f t="shared" si="3"/>
        <v>5</v>
      </c>
      <c r="K56" s="111">
        <f t="shared" si="1"/>
        <v>1</v>
      </c>
      <c r="L56" s="179" t="s">
        <v>709</v>
      </c>
    </row>
    <row r="57" ht="37.95" customHeight="1" spans="1:12">
      <c r="A57" s="170"/>
      <c r="B57" s="59"/>
      <c r="C57" s="59"/>
      <c r="D57" s="95" t="s">
        <v>175</v>
      </c>
      <c r="E57" s="59" t="s">
        <v>714</v>
      </c>
      <c r="F57" s="171">
        <v>5</v>
      </c>
      <c r="G57" s="88" t="s">
        <v>715</v>
      </c>
      <c r="H57" s="64" t="s">
        <v>716</v>
      </c>
      <c r="I57" s="90" t="s">
        <v>717</v>
      </c>
      <c r="J57" s="87">
        <f t="shared" si="3"/>
        <v>5</v>
      </c>
      <c r="K57" s="111">
        <f t="shared" si="1"/>
        <v>1</v>
      </c>
      <c r="L57" s="179" t="s">
        <v>718</v>
      </c>
    </row>
    <row r="58" ht="37.95" customHeight="1" spans="1:12">
      <c r="A58" s="170"/>
      <c r="B58" s="59"/>
      <c r="C58" s="59"/>
      <c r="D58" s="95" t="s">
        <v>175</v>
      </c>
      <c r="E58" s="59" t="s">
        <v>719</v>
      </c>
      <c r="F58" s="171">
        <v>5</v>
      </c>
      <c r="G58" s="88" t="s">
        <v>720</v>
      </c>
      <c r="H58" s="64" t="s">
        <v>721</v>
      </c>
      <c r="I58" s="90" t="s">
        <v>722</v>
      </c>
      <c r="J58" s="87">
        <f t="shared" si="3"/>
        <v>5</v>
      </c>
      <c r="K58" s="111">
        <f t="shared" si="1"/>
        <v>1</v>
      </c>
      <c r="L58" s="179" t="s">
        <v>723</v>
      </c>
    </row>
    <row r="59" ht="37.95" customHeight="1" spans="1:12">
      <c r="A59" s="170"/>
      <c r="B59" s="59"/>
      <c r="C59" s="59"/>
      <c r="D59" s="95" t="s">
        <v>188</v>
      </c>
      <c r="E59" s="59" t="s">
        <v>724</v>
      </c>
      <c r="F59" s="171">
        <v>2</v>
      </c>
      <c r="G59" s="88" t="s">
        <v>725</v>
      </c>
      <c r="H59" s="64" t="s">
        <v>726</v>
      </c>
      <c r="I59" s="90" t="s">
        <v>727</v>
      </c>
      <c r="J59" s="87">
        <f t="shared" si="3"/>
        <v>2</v>
      </c>
      <c r="K59" s="111">
        <f t="shared" si="1"/>
        <v>1</v>
      </c>
      <c r="L59" s="179" t="s">
        <v>728</v>
      </c>
    </row>
    <row r="60" ht="36" customHeight="1" spans="1:12">
      <c r="A60" s="170"/>
      <c r="B60" s="59"/>
      <c r="C60" s="59"/>
      <c r="D60" s="95" t="s">
        <v>188</v>
      </c>
      <c r="E60" s="59" t="s">
        <v>729</v>
      </c>
      <c r="F60" s="171">
        <v>2</v>
      </c>
      <c r="G60" s="88" t="s">
        <v>730</v>
      </c>
      <c r="H60" s="64" t="s">
        <v>731</v>
      </c>
      <c r="I60" s="90" t="s">
        <v>732</v>
      </c>
      <c r="J60" s="87">
        <f t="shared" si="3"/>
        <v>2</v>
      </c>
      <c r="K60" s="111">
        <f t="shared" si="1"/>
        <v>1</v>
      </c>
      <c r="L60" s="179" t="s">
        <v>728</v>
      </c>
    </row>
    <row r="61" ht="36" customHeight="1" spans="1:12">
      <c r="A61" s="170"/>
      <c r="B61" s="59"/>
      <c r="C61" s="59"/>
      <c r="D61" s="95" t="s">
        <v>188</v>
      </c>
      <c r="E61" s="59" t="s">
        <v>733</v>
      </c>
      <c r="F61" s="171">
        <v>2</v>
      </c>
      <c r="G61" s="88" t="s">
        <v>734</v>
      </c>
      <c r="H61" s="64" t="s">
        <v>735</v>
      </c>
      <c r="I61" s="90" t="s">
        <v>736</v>
      </c>
      <c r="J61" s="87">
        <f t="shared" si="3"/>
        <v>2</v>
      </c>
      <c r="K61" s="111">
        <f t="shared" si="1"/>
        <v>1</v>
      </c>
      <c r="L61" s="179" t="s">
        <v>737</v>
      </c>
    </row>
    <row r="62" ht="36" customHeight="1" spans="1:12">
      <c r="A62" s="170"/>
      <c r="B62" s="59"/>
      <c r="C62" s="59"/>
      <c r="D62" s="95" t="s">
        <v>197</v>
      </c>
      <c r="E62" s="59" t="s">
        <v>738</v>
      </c>
      <c r="F62" s="171">
        <v>2</v>
      </c>
      <c r="G62" s="88" t="s">
        <v>739</v>
      </c>
      <c r="H62" s="64" t="s">
        <v>740</v>
      </c>
      <c r="I62" s="90" t="s">
        <v>741</v>
      </c>
      <c r="J62" s="87">
        <f t="shared" si="3"/>
        <v>2</v>
      </c>
      <c r="K62" s="111">
        <f t="shared" si="1"/>
        <v>1</v>
      </c>
      <c r="L62" s="179" t="s">
        <v>737</v>
      </c>
    </row>
    <row r="63" ht="37.95" customHeight="1" spans="1:12">
      <c r="A63" s="170"/>
      <c r="B63" s="59"/>
      <c r="C63" s="59"/>
      <c r="D63" s="95" t="s">
        <v>175</v>
      </c>
      <c r="E63" s="59" t="s">
        <v>742</v>
      </c>
      <c r="F63" s="171">
        <v>5</v>
      </c>
      <c r="G63" s="88" t="s">
        <v>743</v>
      </c>
      <c r="H63" s="64" t="s">
        <v>744</v>
      </c>
      <c r="I63" s="90" t="s">
        <v>745</v>
      </c>
      <c r="J63" s="87">
        <f t="shared" si="3"/>
        <v>5</v>
      </c>
      <c r="K63" s="111">
        <f t="shared" si="1"/>
        <v>1</v>
      </c>
      <c r="L63" s="179" t="s">
        <v>737</v>
      </c>
    </row>
    <row r="64" ht="37.95" customHeight="1" spans="1:12">
      <c r="A64" s="170"/>
      <c r="B64" s="59"/>
      <c r="C64" s="59"/>
      <c r="D64" s="95" t="s">
        <v>188</v>
      </c>
      <c r="E64" s="95" t="s">
        <v>534</v>
      </c>
      <c r="F64" s="171">
        <v>2</v>
      </c>
      <c r="G64" s="88" t="s">
        <v>746</v>
      </c>
      <c r="H64" s="64" t="s">
        <v>747</v>
      </c>
      <c r="I64" s="90" t="s">
        <v>748</v>
      </c>
      <c r="J64" s="87">
        <f t="shared" si="3"/>
        <v>2</v>
      </c>
      <c r="K64" s="111">
        <f t="shared" si="1"/>
        <v>1</v>
      </c>
      <c r="L64" s="179" t="s">
        <v>749</v>
      </c>
    </row>
    <row r="65" ht="25.5" customHeight="1" spans="1:11">
      <c r="A65" s="56" t="s">
        <v>20</v>
      </c>
      <c r="B65" s="56"/>
      <c r="C65" s="105">
        <f>SUM(C4:C52)</f>
        <v>5930</v>
      </c>
      <c r="D65" s="180"/>
      <c r="E65" s="181"/>
      <c r="F65" s="182">
        <f>SUM(F4:F64)</f>
        <v>650</v>
      </c>
      <c r="G65" s="108"/>
      <c r="H65" s="108"/>
      <c r="I65" s="58"/>
      <c r="J65" s="182">
        <f>SUM(J4:J64)</f>
        <v>610</v>
      </c>
      <c r="K65" s="111">
        <f t="shared" si="1"/>
        <v>0.938461538461538</v>
      </c>
    </row>
  </sheetData>
  <mergeCells count="41">
    <mergeCell ref="B2:I2"/>
    <mergeCell ref="A65:B65"/>
    <mergeCell ref="A4:A6"/>
    <mergeCell ref="A7:A9"/>
    <mergeCell ref="A10:A13"/>
    <mergeCell ref="A14:A17"/>
    <mergeCell ref="A18:A21"/>
    <mergeCell ref="A22:A25"/>
    <mergeCell ref="A26:A30"/>
    <mergeCell ref="A31:A33"/>
    <mergeCell ref="A34:A38"/>
    <mergeCell ref="A39:A43"/>
    <mergeCell ref="A44:A48"/>
    <mergeCell ref="A49:A51"/>
    <mergeCell ref="A52:A64"/>
    <mergeCell ref="B4:B6"/>
    <mergeCell ref="B7:B9"/>
    <mergeCell ref="B10:B13"/>
    <mergeCell ref="B14:B17"/>
    <mergeCell ref="B18:B21"/>
    <mergeCell ref="B22:B25"/>
    <mergeCell ref="B26:B30"/>
    <mergeCell ref="B31:B33"/>
    <mergeCell ref="B34:B38"/>
    <mergeCell ref="B39:B43"/>
    <mergeCell ref="B44:B48"/>
    <mergeCell ref="B49:B51"/>
    <mergeCell ref="B52:B64"/>
    <mergeCell ref="C4:C6"/>
    <mergeCell ref="C7:C9"/>
    <mergeCell ref="C10:C13"/>
    <mergeCell ref="C14:C17"/>
    <mergeCell ref="C18:C21"/>
    <mergeCell ref="C22:C25"/>
    <mergeCell ref="C26:C30"/>
    <mergeCell ref="C31:C33"/>
    <mergeCell ref="C34:C38"/>
    <mergeCell ref="C39:C43"/>
    <mergeCell ref="C44:C48"/>
    <mergeCell ref="C49:C51"/>
    <mergeCell ref="C52:C64"/>
  </mergeCells>
  <printOptions horizontalCentered="1"/>
  <pageMargins left="0.393055555555556" right="0.393055555555556" top="0.786805555555556" bottom="0.393055555555556" header="0.314583333333333" footer="0"/>
  <pageSetup paperSize="9" scale="53" fitToHeight="0" orientation="landscape" horizontalDpi="600"/>
  <headerFooter/>
  <rowBreaks count="3" manualBreakCount="3">
    <brk id="30" max="10" man="1"/>
    <brk id="51" max="10" man="1"/>
    <brk id="65"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pageSetUpPr fitToPage="1"/>
  </sheetPr>
  <dimension ref="A1:P18"/>
  <sheetViews>
    <sheetView view="pageBreakPreview" zoomScale="90" zoomScaleNormal="100" topLeftCell="A7" workbookViewId="0">
      <selection activeCell="A17" sqref="A17:C17"/>
    </sheetView>
  </sheetViews>
  <sheetFormatPr defaultColWidth="8.7" defaultRowHeight="13.5"/>
  <cols>
    <col min="1" max="2" width="8.7" style="52"/>
    <col min="3" max="3" width="37.775" style="52" customWidth="1"/>
    <col min="4" max="4" width="10.7" style="52" customWidth="1"/>
    <col min="5" max="5" width="9.4" style="52" customWidth="1"/>
    <col min="6" max="6" width="15.4" style="52" customWidth="1"/>
    <col min="7" max="7" width="8.8" style="52" customWidth="1"/>
    <col min="8" max="8" width="15.1" style="52" customWidth="1"/>
    <col min="9" max="9" width="14.7" style="52" customWidth="1"/>
    <col min="10" max="10" width="9.5" style="52" customWidth="1"/>
    <col min="11" max="11" width="14.7" style="52" customWidth="1"/>
    <col min="12" max="12" width="11.3" style="52" customWidth="1"/>
    <col min="13" max="13" width="9.375" style="52"/>
    <col min="14" max="14" width="8.7" style="52"/>
    <col min="15" max="15" width="9.375" style="52"/>
    <col min="16" max="16384" width="8.7" style="52"/>
  </cols>
  <sheetData>
    <row r="1" spans="1:1">
      <c r="A1" s="148" t="s">
        <v>750</v>
      </c>
    </row>
    <row r="2" ht="29.4" customHeight="1" spans="1:16">
      <c r="A2" s="55" t="s">
        <v>751</v>
      </c>
      <c r="B2" s="55"/>
      <c r="C2" s="55"/>
      <c r="D2" s="55"/>
      <c r="E2" s="55"/>
      <c r="F2" s="55"/>
      <c r="G2" s="55"/>
      <c r="H2" s="55"/>
      <c r="I2" s="73" t="s">
        <v>8</v>
      </c>
      <c r="J2" s="73"/>
      <c r="K2" s="73"/>
      <c r="L2" s="73"/>
      <c r="M2" s="73" t="s">
        <v>9</v>
      </c>
      <c r="N2" s="73"/>
      <c r="O2" s="73"/>
      <c r="P2" s="73"/>
    </row>
    <row r="3" ht="27" spans="1:16">
      <c r="A3" s="56" t="s">
        <v>3</v>
      </c>
      <c r="B3" s="56" t="s">
        <v>24</v>
      </c>
      <c r="C3" s="56" t="s">
        <v>25</v>
      </c>
      <c r="D3" s="56" t="s">
        <v>298</v>
      </c>
      <c r="E3" s="56" t="s">
        <v>299</v>
      </c>
      <c r="F3" s="58" t="s">
        <v>300</v>
      </c>
      <c r="G3" s="58" t="s">
        <v>13</v>
      </c>
      <c r="H3" s="58" t="s">
        <v>301</v>
      </c>
      <c r="I3" s="73" t="s">
        <v>11</v>
      </c>
      <c r="J3" s="73" t="s">
        <v>452</v>
      </c>
      <c r="K3" s="73" t="s">
        <v>13</v>
      </c>
      <c r="L3" s="74" t="s">
        <v>303</v>
      </c>
      <c r="M3" s="73" t="s">
        <v>11</v>
      </c>
      <c r="N3" s="73" t="s">
        <v>752</v>
      </c>
      <c r="O3" s="73" t="s">
        <v>13</v>
      </c>
      <c r="P3" s="74" t="s">
        <v>303</v>
      </c>
    </row>
    <row r="4" ht="24" customHeight="1" spans="1:16">
      <c r="A4" s="59" t="s">
        <v>18</v>
      </c>
      <c r="B4" s="60" t="s">
        <v>33</v>
      </c>
      <c r="C4" s="61" t="s">
        <v>753</v>
      </c>
      <c r="D4" s="149">
        <v>100</v>
      </c>
      <c r="E4" s="149">
        <v>50</v>
      </c>
      <c r="F4" s="150">
        <f t="shared" ref="F4:F16" si="0">E4*D4/$D$17</f>
        <v>0.843170320404722</v>
      </c>
      <c r="G4" s="150">
        <v>50</v>
      </c>
      <c r="H4" s="150">
        <f t="shared" ref="H4:H16" si="1">G4*D4/$D$17</f>
        <v>0.843170320404722</v>
      </c>
      <c r="I4" s="75">
        <f>'5-2青岛广播电视台产出及效益绩效汇总表'!F4</f>
        <v>10</v>
      </c>
      <c r="J4" s="75">
        <f>D4/$D$17*I4</f>
        <v>0.168634064080944</v>
      </c>
      <c r="K4" s="75">
        <f>'5-2青岛广播电视台产出及效益绩效汇总表'!J4</f>
        <v>10</v>
      </c>
      <c r="L4" s="75">
        <f>D4/$D$17*K4</f>
        <v>0.168634064080944</v>
      </c>
      <c r="M4" s="75">
        <f>'5-2青岛广播电视台产出及效益绩效汇总表'!F5+'5-2青岛广播电视台产出及效益绩效汇总表'!F6</f>
        <v>40</v>
      </c>
      <c r="N4" s="75">
        <f>D4/$D$17*M4</f>
        <v>0.674536256323777</v>
      </c>
      <c r="O4" s="75">
        <f>'5-2青岛广播电视台产出及效益绩效汇总表'!J5+'5-2青岛广播电视台产出及效益绩效汇总表'!J6</f>
        <v>40</v>
      </c>
      <c r="P4" s="75">
        <f>D4/$D$17*O4</f>
        <v>0.674536256323777</v>
      </c>
    </row>
    <row r="5" ht="24" customHeight="1" spans="1:16">
      <c r="A5" s="59"/>
      <c r="B5" s="60" t="s">
        <v>33</v>
      </c>
      <c r="C5" s="64" t="s">
        <v>754</v>
      </c>
      <c r="D5" s="149">
        <v>50</v>
      </c>
      <c r="E5" s="149">
        <v>50</v>
      </c>
      <c r="F5" s="150">
        <f t="shared" si="0"/>
        <v>0.421585160202361</v>
      </c>
      <c r="G5" s="150">
        <v>50</v>
      </c>
      <c r="H5" s="150">
        <f t="shared" si="1"/>
        <v>0.421585160202361</v>
      </c>
      <c r="I5" s="76">
        <f>'5-2青岛广播电视台产出及效益绩效汇总表'!F7+'5-2青岛广播电视台产出及效益绩效汇总表'!F8</f>
        <v>20</v>
      </c>
      <c r="J5" s="75">
        <f t="shared" ref="J5:J16" si="2">D5/$D$17*I5</f>
        <v>0.168634064080944</v>
      </c>
      <c r="K5" s="76">
        <f>'5-2青岛广播电视台产出及效益绩效汇总表'!J7+'5-2青岛广播电视台产出及效益绩效汇总表'!J8</f>
        <v>20</v>
      </c>
      <c r="L5" s="75">
        <f t="shared" ref="L5:L16" si="3">D5/$D$17*K5</f>
        <v>0.168634064080944</v>
      </c>
      <c r="M5" s="76">
        <f>'5-2青岛广播电视台产出及效益绩效汇总表'!F9</f>
        <v>30</v>
      </c>
      <c r="N5" s="75">
        <f t="shared" ref="N5:N16" si="4">D5/$D$17*M5</f>
        <v>0.252951096121417</v>
      </c>
      <c r="O5" s="76">
        <f>'5-2青岛广播电视台产出及效益绩效汇总表'!J9</f>
        <v>30</v>
      </c>
      <c r="P5" s="75">
        <f t="shared" ref="P5:P16" si="5">D5/$D$17*O5</f>
        <v>0.252951096121417</v>
      </c>
    </row>
    <row r="6" ht="24" customHeight="1" spans="1:16">
      <c r="A6" s="59"/>
      <c r="B6" s="60" t="s">
        <v>33</v>
      </c>
      <c r="C6" s="61" t="s">
        <v>755</v>
      </c>
      <c r="D6" s="149">
        <v>100</v>
      </c>
      <c r="E6" s="149">
        <v>50</v>
      </c>
      <c r="F6" s="150">
        <f t="shared" si="0"/>
        <v>0.843170320404722</v>
      </c>
      <c r="G6" s="150">
        <v>50</v>
      </c>
      <c r="H6" s="150">
        <f t="shared" si="1"/>
        <v>0.843170320404722</v>
      </c>
      <c r="I6" s="76">
        <f>'5-2青岛广播电视台产出及效益绩效汇总表'!F10+'5-2青岛广播电视台产出及效益绩效汇总表'!F11</f>
        <v>30</v>
      </c>
      <c r="J6" s="75">
        <f t="shared" si="2"/>
        <v>0.505902192242833</v>
      </c>
      <c r="K6" s="76">
        <f>'5-2青岛广播电视台产出及效益绩效汇总表'!J10+'5-2青岛广播电视台产出及效益绩效汇总表'!J11</f>
        <v>30</v>
      </c>
      <c r="L6" s="75">
        <f t="shared" si="3"/>
        <v>0.505902192242833</v>
      </c>
      <c r="M6" s="76">
        <f>'5-2青岛广播电视台产出及效益绩效汇总表'!F12+'5-2青岛广播电视台产出及效益绩效汇总表'!F13</f>
        <v>20</v>
      </c>
      <c r="N6" s="75">
        <f t="shared" si="4"/>
        <v>0.337268128161889</v>
      </c>
      <c r="O6" s="76">
        <f>'5-2青岛广播电视台产出及效益绩效汇总表'!J12+'5-2青岛广播电视台产出及效益绩效汇总表'!J13</f>
        <v>20</v>
      </c>
      <c r="P6" s="75">
        <f t="shared" si="5"/>
        <v>0.337268128161889</v>
      </c>
    </row>
    <row r="7" ht="24" customHeight="1" spans="1:16">
      <c r="A7" s="59"/>
      <c r="B7" s="60" t="s">
        <v>33</v>
      </c>
      <c r="C7" s="64" t="s">
        <v>54</v>
      </c>
      <c r="D7" s="149">
        <v>120</v>
      </c>
      <c r="E7" s="149">
        <v>50</v>
      </c>
      <c r="F7" s="150">
        <f t="shared" si="0"/>
        <v>1.01180438448567</v>
      </c>
      <c r="G7" s="150">
        <v>43</v>
      </c>
      <c r="H7" s="150">
        <f t="shared" si="1"/>
        <v>0.870151770657673</v>
      </c>
      <c r="I7" s="76">
        <f>'5-2青岛广播电视台产出及效益绩效汇总表'!F14+'5-2青岛广播电视台产出及效益绩效汇总表'!F15</f>
        <v>20</v>
      </c>
      <c r="J7" s="75">
        <f t="shared" si="2"/>
        <v>0.404721753794266</v>
      </c>
      <c r="K7" s="76">
        <f>'5-2青岛广播电视台产出及效益绩效汇总表'!J14+'5-2青岛广播电视台产出及效益绩效汇总表'!J15</f>
        <v>20</v>
      </c>
      <c r="L7" s="75">
        <f t="shared" si="3"/>
        <v>0.404721753794266</v>
      </c>
      <c r="M7" s="76">
        <f>'5-2青岛广播电视台产出及效益绩效汇总表'!F16+'5-2青岛广播电视台产出及效益绩效汇总表'!F17</f>
        <v>30</v>
      </c>
      <c r="N7" s="75">
        <f t="shared" si="4"/>
        <v>0.6070826306914</v>
      </c>
      <c r="O7" s="76">
        <f>'5-2青岛广播电视台产出及效益绩效汇总表'!J16+'5-2青岛广播电视台产出及效益绩效汇总表'!J17</f>
        <v>23</v>
      </c>
      <c r="P7" s="75">
        <f t="shared" si="5"/>
        <v>0.465430016863406</v>
      </c>
    </row>
    <row r="8" ht="40" customHeight="1" spans="1:16">
      <c r="A8" s="59"/>
      <c r="B8" s="60" t="s">
        <v>33</v>
      </c>
      <c r="C8" s="64" t="s">
        <v>55</v>
      </c>
      <c r="D8" s="151">
        <v>80</v>
      </c>
      <c r="E8" s="149">
        <v>50</v>
      </c>
      <c r="F8" s="150">
        <f t="shared" si="0"/>
        <v>0.674536256323777</v>
      </c>
      <c r="G8" s="150">
        <v>37</v>
      </c>
      <c r="H8" s="150">
        <f t="shared" si="1"/>
        <v>0.499156829679595</v>
      </c>
      <c r="I8" s="75">
        <f>'5-2青岛广播电视台产出及效益绩效汇总表'!F18+'5-2青岛广播电视台产出及效益绩效汇总表'!F19</f>
        <v>20</v>
      </c>
      <c r="J8" s="75">
        <f t="shared" si="2"/>
        <v>0.269814502529511</v>
      </c>
      <c r="K8" s="75">
        <f>'5-2青岛广播电视台产出及效益绩效汇总表'!J18+'5-2青岛广播电视台产出及效益绩效汇总表'!J19</f>
        <v>15</v>
      </c>
      <c r="L8" s="75">
        <f t="shared" si="3"/>
        <v>0.202360876897133</v>
      </c>
      <c r="M8" s="75">
        <f>'5-2青岛广播电视台产出及效益绩效汇总表'!F20+'5-2青岛广播电视台产出及效益绩效汇总表'!F21</f>
        <v>30</v>
      </c>
      <c r="N8" s="75">
        <f t="shared" si="4"/>
        <v>0.404721753794266</v>
      </c>
      <c r="O8" s="75">
        <f>'5-2青岛广播电视台产出及效益绩效汇总表'!J20+'5-2青岛广播电视台产出及效益绩效汇总表'!J21</f>
        <v>22</v>
      </c>
      <c r="P8" s="75">
        <f t="shared" si="5"/>
        <v>0.296795952782462</v>
      </c>
    </row>
    <row r="9" ht="24" customHeight="1" spans="1:16">
      <c r="A9" s="59"/>
      <c r="B9" s="60" t="s">
        <v>33</v>
      </c>
      <c r="C9" s="64" t="s">
        <v>56</v>
      </c>
      <c r="D9" s="151">
        <v>100</v>
      </c>
      <c r="E9" s="149">
        <v>50</v>
      </c>
      <c r="F9" s="150">
        <f t="shared" si="0"/>
        <v>0.843170320404722</v>
      </c>
      <c r="G9" s="150">
        <v>50</v>
      </c>
      <c r="H9" s="150">
        <f t="shared" si="1"/>
        <v>0.843170320404722</v>
      </c>
      <c r="I9" s="77">
        <f>'5-2青岛广播电视台产出及效益绩效汇总表'!F22+'5-2青岛广播电视台产出及效益绩效汇总表'!F23</f>
        <v>20</v>
      </c>
      <c r="J9" s="75">
        <f t="shared" si="2"/>
        <v>0.337268128161889</v>
      </c>
      <c r="K9" s="77">
        <f>'5-2青岛广播电视台产出及效益绩效汇总表'!J22+'5-2青岛广播电视台产出及效益绩效汇总表'!J23</f>
        <v>20</v>
      </c>
      <c r="L9" s="75">
        <f t="shared" si="3"/>
        <v>0.337268128161889</v>
      </c>
      <c r="M9" s="77">
        <f>'5-2青岛广播电视台产出及效益绩效汇总表'!F24+'5-2青岛广播电视台产出及效益绩效汇总表'!F25</f>
        <v>30</v>
      </c>
      <c r="N9" s="75">
        <f t="shared" si="4"/>
        <v>0.505902192242833</v>
      </c>
      <c r="O9" s="77">
        <f>'5-2青岛广播电视台产出及效益绩效汇总表'!J24+'5-2青岛广播电视台产出及效益绩效汇总表'!J25</f>
        <v>30</v>
      </c>
      <c r="P9" s="75">
        <f t="shared" si="5"/>
        <v>0.505902192242833</v>
      </c>
    </row>
    <row r="10" ht="30" customHeight="1" spans="1:16">
      <c r="A10" s="59"/>
      <c r="B10" s="60" t="s">
        <v>33</v>
      </c>
      <c r="C10" s="64" t="s">
        <v>57</v>
      </c>
      <c r="D10" s="151">
        <v>840</v>
      </c>
      <c r="E10" s="149">
        <v>50</v>
      </c>
      <c r="F10" s="150">
        <f t="shared" si="0"/>
        <v>7.08263069139966</v>
      </c>
      <c r="G10" s="150">
        <v>30</v>
      </c>
      <c r="H10" s="150">
        <f t="shared" si="1"/>
        <v>4.2495784148398</v>
      </c>
      <c r="I10" s="77">
        <f>'5-2青岛广播电视台产出及效益绩效汇总表'!F26+'5-2青岛广播电视台产出及效益绩效汇总表'!F27</f>
        <v>30</v>
      </c>
      <c r="J10" s="75">
        <f t="shared" si="2"/>
        <v>4.2495784148398</v>
      </c>
      <c r="K10" s="77">
        <f>'5-2青岛广播电视台产出及效益绩效汇总表'!J26+'5-2青岛广播电视台产出及效益绩效汇总表'!J27</f>
        <v>30</v>
      </c>
      <c r="L10" s="75">
        <f t="shared" si="3"/>
        <v>4.2495784148398</v>
      </c>
      <c r="M10" s="77">
        <f>'5-2青岛广播电视台产出及效益绩效汇总表'!F28+'5-2青岛广播电视台产出及效益绩效汇总表'!F29+'5-2青岛广播电视台产出及效益绩效汇总表'!F30</f>
        <v>20</v>
      </c>
      <c r="N10" s="75">
        <f t="shared" si="4"/>
        <v>2.83305227655986</v>
      </c>
      <c r="O10" s="77">
        <f>'5-2青岛广播电视台产出及效益绩效汇总表'!J28+'5-2青岛广播电视台产出及效益绩效汇总表'!J29+'5-2青岛广播电视台产出及效益绩效汇总表'!J30</f>
        <v>0</v>
      </c>
      <c r="P10" s="75">
        <f t="shared" si="5"/>
        <v>0</v>
      </c>
    </row>
    <row r="11" ht="31" customHeight="1" spans="1:16">
      <c r="A11" s="59"/>
      <c r="B11" s="60" t="s">
        <v>33</v>
      </c>
      <c r="C11" s="64" t="s">
        <v>756</v>
      </c>
      <c r="D11" s="151">
        <v>250</v>
      </c>
      <c r="E11" s="149">
        <v>50</v>
      </c>
      <c r="F11" s="150">
        <f t="shared" si="0"/>
        <v>2.1079258010118</v>
      </c>
      <c r="G11" s="150">
        <v>50</v>
      </c>
      <c r="H11" s="150">
        <f t="shared" si="1"/>
        <v>2.1079258010118</v>
      </c>
      <c r="I11" s="77">
        <f>'5-2青岛广播电视台产出及效益绩效汇总表'!F31+'5-2青岛广播电视台产出及效益绩效汇总表'!F32</f>
        <v>20</v>
      </c>
      <c r="J11" s="75">
        <f t="shared" si="2"/>
        <v>0.843170320404722</v>
      </c>
      <c r="K11" s="77">
        <f>'5-2青岛广播电视台产出及效益绩效汇总表'!J31+'5-2青岛广播电视台产出及效益绩效汇总表'!J32</f>
        <v>20</v>
      </c>
      <c r="L11" s="75">
        <f t="shared" si="3"/>
        <v>0.843170320404722</v>
      </c>
      <c r="M11" s="77">
        <f>'5-2青岛广播电视台产出及效益绩效汇总表'!F33</f>
        <v>30</v>
      </c>
      <c r="N11" s="75">
        <f t="shared" si="4"/>
        <v>1.26475548060708</v>
      </c>
      <c r="O11" s="77">
        <f>'5-2青岛广播电视台产出及效益绩效汇总表'!J33</f>
        <v>30</v>
      </c>
      <c r="P11" s="75">
        <f t="shared" si="5"/>
        <v>1.26475548060708</v>
      </c>
    </row>
    <row r="12" ht="24" customHeight="1" spans="1:16">
      <c r="A12" s="59"/>
      <c r="B12" s="60" t="s">
        <v>33</v>
      </c>
      <c r="C12" s="61" t="s">
        <v>757</v>
      </c>
      <c r="D12" s="151">
        <v>260</v>
      </c>
      <c r="E12" s="149">
        <v>50</v>
      </c>
      <c r="F12" s="150">
        <f t="shared" si="0"/>
        <v>2.19224283305228</v>
      </c>
      <c r="G12" s="150">
        <v>50</v>
      </c>
      <c r="H12" s="150">
        <f t="shared" si="1"/>
        <v>2.19224283305228</v>
      </c>
      <c r="I12" s="77">
        <f>'5-2青岛广播电视台产出及效益绩效汇总表'!F34+'5-2青岛广播电视台产出及效益绩效汇总表'!F35</f>
        <v>20</v>
      </c>
      <c r="J12" s="75">
        <f t="shared" si="2"/>
        <v>0.876897133220911</v>
      </c>
      <c r="K12" s="77">
        <f>'5-2青岛广播电视台产出及效益绩效汇总表'!J34+'5-2青岛广播电视台产出及效益绩效汇总表'!J35</f>
        <v>20</v>
      </c>
      <c r="L12" s="75">
        <f t="shared" si="3"/>
        <v>0.876897133220911</v>
      </c>
      <c r="M12" s="77">
        <f>'5-2青岛广播电视台产出及效益绩效汇总表'!F36+'5-2青岛广播电视台产出及效益绩效汇总表'!F37+'5-2青岛广播电视台产出及效益绩效汇总表'!F38</f>
        <v>30</v>
      </c>
      <c r="N12" s="75">
        <f t="shared" si="4"/>
        <v>1.31534569983137</v>
      </c>
      <c r="O12" s="77">
        <f>'5-2青岛广播电视台产出及效益绩效汇总表'!J36+'5-2青岛广播电视台产出及效益绩效汇总表'!J37+'5-2青岛广播电视台产出及效益绩效汇总表'!J38</f>
        <v>30</v>
      </c>
      <c r="P12" s="75">
        <f t="shared" si="5"/>
        <v>1.31534569983137</v>
      </c>
    </row>
    <row r="13" ht="24" customHeight="1" spans="1:16">
      <c r="A13" s="59"/>
      <c r="B13" s="60" t="s">
        <v>34</v>
      </c>
      <c r="C13" s="61" t="s">
        <v>758</v>
      </c>
      <c r="D13" s="151">
        <v>700</v>
      </c>
      <c r="E13" s="149">
        <v>50</v>
      </c>
      <c r="F13" s="150">
        <f t="shared" si="0"/>
        <v>5.90219224283305</v>
      </c>
      <c r="G13" s="150">
        <v>50</v>
      </c>
      <c r="H13" s="150">
        <f t="shared" si="1"/>
        <v>5.90219224283305</v>
      </c>
      <c r="I13" s="77">
        <f>'5-2青岛广播电视台产出及效益绩效汇总表'!F39</f>
        <v>10</v>
      </c>
      <c r="J13" s="75">
        <f t="shared" si="2"/>
        <v>1.18043844856661</v>
      </c>
      <c r="K13" s="77">
        <f>'5-2青岛广播电视台产出及效益绩效汇总表'!J39</f>
        <v>10</v>
      </c>
      <c r="L13" s="75">
        <f t="shared" si="3"/>
        <v>1.18043844856661</v>
      </c>
      <c r="M13" s="77">
        <f>'5-2青岛广播电视台产出及效益绩效汇总表'!F40+'5-2青岛广播电视台产出及效益绩效汇总表'!F41+'5-2青岛广播电视台产出及效益绩效汇总表'!F42+'5-2青岛广播电视台产出及效益绩效汇总表'!F43</f>
        <v>40</v>
      </c>
      <c r="N13" s="75">
        <f t="shared" si="4"/>
        <v>4.72175379426644</v>
      </c>
      <c r="O13" s="77">
        <f>'5-2青岛广播电视台产出及效益绩效汇总表'!J40+'5-2青岛广播电视台产出及效益绩效汇总表'!J41+'5-2青岛广播电视台产出及效益绩效汇总表'!J42+'5-2青岛广播电视台产出及效益绩效汇总表'!J43</f>
        <v>40</v>
      </c>
      <c r="P13" s="75">
        <f t="shared" si="5"/>
        <v>4.72175379426644</v>
      </c>
    </row>
    <row r="14" ht="33" customHeight="1" spans="1:16">
      <c r="A14" s="59"/>
      <c r="B14" s="60" t="s">
        <v>34</v>
      </c>
      <c r="C14" s="64" t="s">
        <v>62</v>
      </c>
      <c r="D14" s="151">
        <v>1100</v>
      </c>
      <c r="E14" s="149">
        <v>50</v>
      </c>
      <c r="F14" s="150">
        <f t="shared" si="0"/>
        <v>9.27487352445194</v>
      </c>
      <c r="G14" s="150">
        <v>50</v>
      </c>
      <c r="H14" s="150">
        <f t="shared" si="1"/>
        <v>9.27487352445194</v>
      </c>
      <c r="I14" s="77">
        <f>'5-2青岛广播电视台产出及效益绩效汇总表'!F44+'5-2青岛广播电视台产出及效益绩效汇总表'!F45</f>
        <v>10</v>
      </c>
      <c r="J14" s="75">
        <f t="shared" si="2"/>
        <v>1.85497470489039</v>
      </c>
      <c r="K14" s="77">
        <f>'5-2青岛广播电视台产出及效益绩效汇总表'!J44+'5-2青岛广播电视台产出及效益绩效汇总表'!J45</f>
        <v>10</v>
      </c>
      <c r="L14" s="75">
        <f t="shared" si="3"/>
        <v>1.85497470489039</v>
      </c>
      <c r="M14" s="77">
        <f>'5-2青岛广播电视台产出及效益绩效汇总表'!F46+'5-2青岛广播电视台产出及效益绩效汇总表'!F47+'5-2青岛广播电视台产出及效益绩效汇总表'!F48</f>
        <v>40</v>
      </c>
      <c r="N14" s="75">
        <f t="shared" si="4"/>
        <v>7.41989881956155</v>
      </c>
      <c r="O14" s="77">
        <f>'5-2青岛广播电视台产出及效益绩效汇总表'!J46+'5-2青岛广播电视台产出及效益绩效汇总表'!J47+'5-2青岛广播电视台产出及效益绩效汇总表'!J48</f>
        <v>40</v>
      </c>
      <c r="P14" s="75">
        <f t="shared" si="5"/>
        <v>7.41989881956155</v>
      </c>
    </row>
    <row r="15" ht="43" customHeight="1" spans="1:16">
      <c r="A15" s="59"/>
      <c r="B15" s="60" t="s">
        <v>34</v>
      </c>
      <c r="C15" s="64" t="s">
        <v>759</v>
      </c>
      <c r="D15" s="151">
        <v>1000</v>
      </c>
      <c r="E15" s="149">
        <v>50</v>
      </c>
      <c r="F15" s="150">
        <f t="shared" si="0"/>
        <v>8.43170320404722</v>
      </c>
      <c r="G15" s="150">
        <v>50</v>
      </c>
      <c r="H15" s="150">
        <f t="shared" si="1"/>
        <v>8.43170320404722</v>
      </c>
      <c r="I15" s="77">
        <f>'5-2青岛广播电视台产出及效益绩效汇总表'!F49+'5-2青岛广播电视台产出及效益绩效汇总表'!F50+'5-2青岛广播电视台产出及效益绩效汇总表'!F51</f>
        <v>50</v>
      </c>
      <c r="J15" s="75">
        <f t="shared" si="2"/>
        <v>8.43170320404722</v>
      </c>
      <c r="K15" s="77">
        <f>'5-2青岛广播电视台产出及效益绩效汇总表'!J49+'5-2青岛广播电视台产出及效益绩效汇总表'!J50+'5-2青岛广播电视台产出及效益绩效汇总表'!J51</f>
        <v>50</v>
      </c>
      <c r="L15" s="75">
        <f t="shared" si="3"/>
        <v>8.43170320404722</v>
      </c>
      <c r="M15" s="77"/>
      <c r="N15" s="75">
        <f t="shared" si="4"/>
        <v>0</v>
      </c>
      <c r="O15" s="77"/>
      <c r="P15" s="75">
        <f t="shared" si="5"/>
        <v>0</v>
      </c>
    </row>
    <row r="16" ht="24" customHeight="1" spans="1:16">
      <c r="A16" s="59"/>
      <c r="B16" s="60" t="s">
        <v>34</v>
      </c>
      <c r="C16" s="64" t="s">
        <v>760</v>
      </c>
      <c r="D16" s="151">
        <v>1230</v>
      </c>
      <c r="E16" s="149">
        <v>50</v>
      </c>
      <c r="F16" s="150">
        <f t="shared" si="0"/>
        <v>10.3709949409781</v>
      </c>
      <c r="G16" s="150">
        <v>50</v>
      </c>
      <c r="H16" s="150">
        <f t="shared" si="1"/>
        <v>10.3709949409781</v>
      </c>
      <c r="I16" s="77">
        <f>'5-2青岛广播电视台产出及效益绩效汇总表'!F52+'5-2青岛广播电视台产出及效益绩效汇总表'!F59+'5-2青岛广播电视台产出及效益绩效汇总表'!F60+'5-2青岛广播电视台产出及效益绩效汇总表'!F61+'5-2青岛广播电视台产出及效益绩效汇总表'!F62+'5-2青岛广播电视台产出及效益绩效汇总表'!F64</f>
        <v>15</v>
      </c>
      <c r="J16" s="75">
        <f t="shared" si="2"/>
        <v>3.11129848229342</v>
      </c>
      <c r="K16" s="77">
        <f>'5-2青岛广播电视台产出及效益绩效汇总表'!J52+'5-2青岛广播电视台产出及效益绩效汇总表'!J59+'5-2青岛广播电视台产出及效益绩效汇总表'!J60+'5-2青岛广播电视台产出及效益绩效汇总表'!J61+'5-2青岛广播电视台产出及效益绩效汇总表'!J62+'5-2青岛广播电视台产出及效益绩效汇总表'!J64</f>
        <v>15</v>
      </c>
      <c r="L16" s="75">
        <f t="shared" si="3"/>
        <v>3.11129848229342</v>
      </c>
      <c r="M16" s="77">
        <f>'5-2青岛广播电视台产出及效益绩效汇总表'!F53+'5-2青岛广播电视台产出及效益绩效汇总表'!F54+'5-2青岛广播电视台产出及效益绩效汇总表'!F55+'5-2青岛广播电视台产出及效益绩效汇总表'!F56+'5-2青岛广播电视台产出及效益绩效汇总表'!F57+'5-2青岛广播电视台产出及效益绩效汇总表'!F58+'5-2青岛广播电视台产出及效益绩效汇总表'!F63</f>
        <v>35</v>
      </c>
      <c r="N16" s="75">
        <f t="shared" si="4"/>
        <v>7.25969645868465</v>
      </c>
      <c r="O16" s="77">
        <f>'5-2青岛广播电视台产出及效益绩效汇总表'!J63+'5-2青岛广播电视台产出及效益绩效汇总表'!J58+'5-2青岛广播电视台产出及效益绩效汇总表'!J57+'5-2青岛广播电视台产出及效益绩效汇总表'!J56+'5-2青岛广播电视台产出及效益绩效汇总表'!J55+'5-2青岛广播电视台产出及效益绩效汇总表'!J54+'5-2青岛广播电视台产出及效益绩效汇总表'!J53</f>
        <v>35</v>
      </c>
      <c r="P16" s="75">
        <f t="shared" si="5"/>
        <v>7.25969645868465</v>
      </c>
    </row>
    <row r="17" ht="21" customHeight="1" spans="1:16">
      <c r="A17" s="152" t="s">
        <v>20</v>
      </c>
      <c r="B17" s="153"/>
      <c r="C17" s="154"/>
      <c r="D17" s="151">
        <f t="shared" ref="D17:H17" si="6">SUM(D4:D16)</f>
        <v>5930</v>
      </c>
      <c r="E17" s="149">
        <f t="shared" si="6"/>
        <v>650</v>
      </c>
      <c r="F17" s="149">
        <f t="shared" si="6"/>
        <v>50</v>
      </c>
      <c r="G17" s="150">
        <f t="shared" si="6"/>
        <v>610</v>
      </c>
      <c r="H17" s="150">
        <f t="shared" si="6"/>
        <v>46.849915682968</v>
      </c>
      <c r="I17" s="77">
        <f t="shared" ref="I17:P17" si="7">SUM(I4:I16)</f>
        <v>275</v>
      </c>
      <c r="J17" s="77">
        <f t="shared" si="7"/>
        <v>22.4030354131535</v>
      </c>
      <c r="K17" s="77">
        <f t="shared" si="7"/>
        <v>270</v>
      </c>
      <c r="L17" s="77">
        <f t="shared" si="7"/>
        <v>22.3355817875211</v>
      </c>
      <c r="M17" s="77">
        <f t="shared" si="7"/>
        <v>375</v>
      </c>
      <c r="N17" s="77">
        <f t="shared" si="7"/>
        <v>27.5969645868465</v>
      </c>
      <c r="O17" s="77">
        <f t="shared" si="7"/>
        <v>340</v>
      </c>
      <c r="P17" s="77">
        <f t="shared" si="7"/>
        <v>24.5143338954469</v>
      </c>
    </row>
    <row r="18" ht="14.25" spans="8:8">
      <c r="H18" s="155"/>
    </row>
  </sheetData>
  <mergeCells count="5">
    <mergeCell ref="A2:H2"/>
    <mergeCell ref="I2:L2"/>
    <mergeCell ref="M2:P2"/>
    <mergeCell ref="A17:C17"/>
    <mergeCell ref="A4:A16"/>
  </mergeCells>
  <pageMargins left="0.75" right="0.75" top="1" bottom="1" header="0.5" footer="0.5"/>
  <pageSetup paperSize="9" scale="7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abSelected="1" view="pageBreakPreview" zoomScale="80" zoomScaleNormal="100" workbookViewId="0">
      <pane xSplit="5" ySplit="3" topLeftCell="F16" activePane="bottomRight" state="frozenSplit"/>
      <selection/>
      <selection pane="topRight"/>
      <selection pane="bottomLeft"/>
      <selection pane="bottomRight" activeCell="B16" sqref="B16:B19"/>
    </sheetView>
  </sheetViews>
  <sheetFormatPr defaultColWidth="9" defaultRowHeight="13.5"/>
  <cols>
    <col min="1" max="1" width="8.7" style="113" customWidth="1"/>
    <col min="2" max="2" width="14.0583333333333" style="114" customWidth="1"/>
    <col min="3" max="3" width="15.4666666666667" style="114" customWidth="1"/>
    <col min="4" max="4" width="23.125" style="114" customWidth="1"/>
    <col min="5" max="5" width="9.36666666666667" style="115" customWidth="1"/>
    <col min="6" max="6" width="58.5" style="116" customWidth="1"/>
    <col min="7" max="7" width="21.4083333333333" style="114" customWidth="1"/>
    <col min="8" max="8" width="67.025" style="113" customWidth="1"/>
    <col min="9" max="9" width="8.7" style="117" customWidth="1"/>
    <col min="10" max="10" width="8.4" style="118" customWidth="1"/>
    <col min="11" max="16384" width="9" style="113"/>
  </cols>
  <sheetData>
    <row r="1" ht="24" customHeight="1" spans="1:1">
      <c r="A1" s="119" t="s">
        <v>761</v>
      </c>
    </row>
    <row r="2" ht="26" customHeight="1" spans="1:8">
      <c r="A2" s="120" t="s">
        <v>762</v>
      </c>
      <c r="B2" s="120"/>
      <c r="C2" s="120"/>
      <c r="D2" s="120"/>
      <c r="E2" s="120"/>
      <c r="F2" s="120"/>
      <c r="G2" s="120"/>
      <c r="H2" s="120"/>
    </row>
    <row r="3" ht="29" customHeight="1" spans="1:10">
      <c r="A3" s="121" t="s">
        <v>81</v>
      </c>
      <c r="B3" s="121" t="s">
        <v>82</v>
      </c>
      <c r="C3" s="121" t="s">
        <v>83</v>
      </c>
      <c r="D3" s="121" t="s">
        <v>84</v>
      </c>
      <c r="E3" s="122" t="s">
        <v>85</v>
      </c>
      <c r="F3" s="121" t="s">
        <v>86</v>
      </c>
      <c r="G3" s="121" t="s">
        <v>87</v>
      </c>
      <c r="H3" s="121" t="s">
        <v>88</v>
      </c>
      <c r="I3" s="143" t="s">
        <v>13</v>
      </c>
      <c r="J3" s="144" t="s">
        <v>89</v>
      </c>
    </row>
    <row r="4" ht="186" customHeight="1" spans="1:10">
      <c r="A4" s="123" t="s">
        <v>308</v>
      </c>
      <c r="B4" s="123" t="s">
        <v>91</v>
      </c>
      <c r="C4" s="123" t="s">
        <v>92</v>
      </c>
      <c r="D4" s="123" t="str">
        <f t="shared" ref="D4:D11" si="0">C4</f>
        <v>立项依据
充分性</v>
      </c>
      <c r="E4" s="124">
        <v>2</v>
      </c>
      <c r="F4" s="125" t="s">
        <v>93</v>
      </c>
      <c r="G4" s="123" t="s">
        <v>94</v>
      </c>
      <c r="H4" s="126" t="s">
        <v>763</v>
      </c>
      <c r="I4" s="145">
        <f t="shared" ref="I4:I11" si="1">E4</f>
        <v>2</v>
      </c>
      <c r="J4" s="146">
        <f t="shared" ref="J4:J20" si="2">I4/E4</f>
        <v>1</v>
      </c>
    </row>
    <row r="5" ht="70" customHeight="1" spans="1:10">
      <c r="A5" s="123"/>
      <c r="B5" s="123"/>
      <c r="C5" s="123" t="s">
        <v>96</v>
      </c>
      <c r="D5" s="123" t="str">
        <f t="shared" si="0"/>
        <v>立项程序
规范性</v>
      </c>
      <c r="E5" s="124">
        <v>3</v>
      </c>
      <c r="F5" s="125" t="s">
        <v>97</v>
      </c>
      <c r="G5" s="123" t="s">
        <v>98</v>
      </c>
      <c r="H5" s="126" t="s">
        <v>99</v>
      </c>
      <c r="I5" s="145">
        <f t="shared" si="1"/>
        <v>3</v>
      </c>
      <c r="J5" s="146">
        <f t="shared" si="2"/>
        <v>1</v>
      </c>
    </row>
    <row r="6" ht="81.75" customHeight="1" spans="1:10">
      <c r="A6" s="123"/>
      <c r="B6" s="123" t="s">
        <v>100</v>
      </c>
      <c r="C6" s="123" t="s">
        <v>101</v>
      </c>
      <c r="D6" s="123" t="str">
        <f t="shared" si="0"/>
        <v>绩效目标
合理性</v>
      </c>
      <c r="E6" s="124">
        <v>3</v>
      </c>
      <c r="F6" s="125" t="s">
        <v>102</v>
      </c>
      <c r="G6" s="123" t="s">
        <v>103</v>
      </c>
      <c r="H6" s="126" t="s">
        <v>104</v>
      </c>
      <c r="I6" s="145">
        <f t="shared" si="1"/>
        <v>3</v>
      </c>
      <c r="J6" s="146">
        <f t="shared" si="2"/>
        <v>1</v>
      </c>
    </row>
    <row r="7" ht="72" customHeight="1" spans="1:10">
      <c r="A7" s="123"/>
      <c r="B7" s="123"/>
      <c r="C7" s="123" t="s">
        <v>106</v>
      </c>
      <c r="D7" s="123" t="str">
        <f t="shared" si="0"/>
        <v>绩效指标
明确性</v>
      </c>
      <c r="E7" s="124">
        <v>3</v>
      </c>
      <c r="F7" s="125" t="s">
        <v>107</v>
      </c>
      <c r="G7" s="123" t="s">
        <v>108</v>
      </c>
      <c r="H7" s="126" t="s">
        <v>764</v>
      </c>
      <c r="I7" s="145">
        <f t="shared" si="1"/>
        <v>3</v>
      </c>
      <c r="J7" s="146">
        <f t="shared" si="2"/>
        <v>1</v>
      </c>
    </row>
    <row r="8" ht="31" customHeight="1" spans="1:10">
      <c r="A8" s="123"/>
      <c r="B8" s="123" t="s">
        <v>311</v>
      </c>
      <c r="C8" s="123" t="s">
        <v>111</v>
      </c>
      <c r="D8" s="123" t="str">
        <f t="shared" si="0"/>
        <v>财政资金扶持占比</v>
      </c>
      <c r="E8" s="124">
        <v>2</v>
      </c>
      <c r="F8" s="125" t="s">
        <v>112</v>
      </c>
      <c r="G8" s="123" t="s">
        <v>113</v>
      </c>
      <c r="H8" s="126" t="s">
        <v>114</v>
      </c>
      <c r="I8" s="145">
        <f t="shared" si="1"/>
        <v>2</v>
      </c>
      <c r="J8" s="146">
        <f t="shared" si="2"/>
        <v>1</v>
      </c>
    </row>
    <row r="9" ht="45" customHeight="1" spans="1:10">
      <c r="A9" s="123"/>
      <c r="B9" s="123"/>
      <c r="C9" s="123" t="s">
        <v>115</v>
      </c>
      <c r="D9" s="123" t="str">
        <f t="shared" si="0"/>
        <v>资金分配
合理性</v>
      </c>
      <c r="E9" s="124">
        <v>3</v>
      </c>
      <c r="F9" s="125" t="s">
        <v>116</v>
      </c>
      <c r="G9" s="123" t="s">
        <v>103</v>
      </c>
      <c r="H9" s="126" t="s">
        <v>117</v>
      </c>
      <c r="I9" s="145">
        <f t="shared" si="1"/>
        <v>3</v>
      </c>
      <c r="J9" s="146">
        <f t="shared" si="2"/>
        <v>1</v>
      </c>
    </row>
    <row r="10" ht="36" customHeight="1" spans="1:10">
      <c r="A10" s="123" t="s">
        <v>312</v>
      </c>
      <c r="B10" s="123" t="s">
        <v>313</v>
      </c>
      <c r="C10" s="123" t="s">
        <v>121</v>
      </c>
      <c r="D10" s="123" t="str">
        <f t="shared" si="0"/>
        <v>配套资金到位率</v>
      </c>
      <c r="E10" s="124">
        <v>2</v>
      </c>
      <c r="F10" s="125" t="s">
        <v>122</v>
      </c>
      <c r="G10" s="127">
        <v>1</v>
      </c>
      <c r="H10" s="126" t="s">
        <v>123</v>
      </c>
      <c r="I10" s="145">
        <f t="shared" si="1"/>
        <v>2</v>
      </c>
      <c r="J10" s="146">
        <f t="shared" si="2"/>
        <v>1</v>
      </c>
    </row>
    <row r="11" ht="44" customHeight="1" spans="1:10">
      <c r="A11" s="123"/>
      <c r="B11" s="123"/>
      <c r="C11" s="123" t="s">
        <v>124</v>
      </c>
      <c r="D11" s="123" t="str">
        <f t="shared" si="0"/>
        <v>预算执行率</v>
      </c>
      <c r="E11" s="124">
        <v>3</v>
      </c>
      <c r="F11" s="125" t="s">
        <v>765</v>
      </c>
      <c r="G11" s="127">
        <v>1</v>
      </c>
      <c r="H11" s="125" t="s">
        <v>126</v>
      </c>
      <c r="I11" s="145">
        <f t="shared" si="1"/>
        <v>3</v>
      </c>
      <c r="J11" s="146">
        <f t="shared" si="2"/>
        <v>1</v>
      </c>
    </row>
    <row r="12" ht="34.8" customHeight="1" spans="1:11">
      <c r="A12" s="123"/>
      <c r="B12" s="123"/>
      <c r="C12" s="128" t="s">
        <v>128</v>
      </c>
      <c r="D12" s="123" t="s">
        <v>129</v>
      </c>
      <c r="E12" s="124">
        <v>2</v>
      </c>
      <c r="F12" s="125" t="s">
        <v>130</v>
      </c>
      <c r="G12" s="127" t="s">
        <v>131</v>
      </c>
      <c r="H12" s="125" t="s">
        <v>132</v>
      </c>
      <c r="I12" s="145">
        <v>1</v>
      </c>
      <c r="J12" s="146">
        <f t="shared" si="2"/>
        <v>0.5</v>
      </c>
      <c r="K12" s="113" t="s">
        <v>766</v>
      </c>
    </row>
    <row r="13" ht="34.8" customHeight="1" spans="1:11">
      <c r="A13" s="123"/>
      <c r="B13" s="123"/>
      <c r="C13" s="129"/>
      <c r="D13" s="123" t="s">
        <v>133</v>
      </c>
      <c r="E13" s="124">
        <v>1</v>
      </c>
      <c r="F13" s="125" t="s">
        <v>134</v>
      </c>
      <c r="G13" s="127" t="s">
        <v>135</v>
      </c>
      <c r="H13" s="125" t="s">
        <v>136</v>
      </c>
      <c r="I13" s="145">
        <v>0</v>
      </c>
      <c r="J13" s="146">
        <f t="shared" si="2"/>
        <v>0</v>
      </c>
      <c r="K13" s="113" t="s">
        <v>767</v>
      </c>
    </row>
    <row r="14" ht="45.6" customHeight="1" spans="1:11">
      <c r="A14" s="123"/>
      <c r="B14" s="123"/>
      <c r="C14" s="129"/>
      <c r="D14" s="123" t="s">
        <v>138</v>
      </c>
      <c r="E14" s="124">
        <v>3</v>
      </c>
      <c r="F14" s="125" t="s">
        <v>139</v>
      </c>
      <c r="G14" s="127" t="s">
        <v>140</v>
      </c>
      <c r="H14" s="125" t="s">
        <v>141</v>
      </c>
      <c r="I14" s="145">
        <v>1.5</v>
      </c>
      <c r="J14" s="146">
        <f t="shared" si="2"/>
        <v>0.5</v>
      </c>
      <c r="K14" s="113" t="s">
        <v>768</v>
      </c>
    </row>
    <row r="15" ht="35" customHeight="1" spans="1:10">
      <c r="A15" s="123"/>
      <c r="B15" s="123"/>
      <c r="C15" s="129"/>
      <c r="D15" s="123" t="s">
        <v>143</v>
      </c>
      <c r="E15" s="124">
        <v>4</v>
      </c>
      <c r="F15" s="125" t="s">
        <v>144</v>
      </c>
      <c r="G15" s="127" t="s">
        <v>145</v>
      </c>
      <c r="H15" s="125" t="s">
        <v>319</v>
      </c>
      <c r="I15" s="145">
        <v>4</v>
      </c>
      <c r="J15" s="146">
        <f t="shared" si="2"/>
        <v>1</v>
      </c>
    </row>
    <row r="16" ht="86" customHeight="1" spans="1:10">
      <c r="A16" s="123"/>
      <c r="B16" s="123" t="s">
        <v>148</v>
      </c>
      <c r="C16" s="123" t="s">
        <v>149</v>
      </c>
      <c r="D16" s="123" t="str">
        <f>C16</f>
        <v>管理制度
健全性</v>
      </c>
      <c r="E16" s="124">
        <v>2</v>
      </c>
      <c r="F16" s="125" t="s">
        <v>150</v>
      </c>
      <c r="G16" s="123" t="s">
        <v>151</v>
      </c>
      <c r="H16" s="126" t="s">
        <v>152</v>
      </c>
      <c r="I16" s="145">
        <f t="shared" ref="I16:I19" si="3">E16</f>
        <v>2</v>
      </c>
      <c r="J16" s="146">
        <f t="shared" si="2"/>
        <v>1</v>
      </c>
    </row>
    <row r="17" ht="33" customHeight="1" spans="1:10">
      <c r="A17" s="123"/>
      <c r="B17" s="123"/>
      <c r="C17" s="128" t="s">
        <v>153</v>
      </c>
      <c r="D17" s="123" t="s">
        <v>154</v>
      </c>
      <c r="E17" s="124">
        <v>3</v>
      </c>
      <c r="F17" s="125" t="s">
        <v>155</v>
      </c>
      <c r="G17" s="123" t="s">
        <v>156</v>
      </c>
      <c r="H17" s="126" t="s">
        <v>157</v>
      </c>
      <c r="I17" s="145">
        <f t="shared" si="3"/>
        <v>3</v>
      </c>
      <c r="J17" s="146">
        <f t="shared" si="2"/>
        <v>1</v>
      </c>
    </row>
    <row r="18" ht="33" customHeight="1" spans="1:10">
      <c r="A18" s="123"/>
      <c r="B18" s="123"/>
      <c r="C18" s="129"/>
      <c r="D18" s="123" t="s">
        <v>159</v>
      </c>
      <c r="E18" s="124">
        <v>2</v>
      </c>
      <c r="F18" s="125" t="s">
        <v>160</v>
      </c>
      <c r="G18" s="123" t="s">
        <v>161</v>
      </c>
      <c r="H18" s="126" t="s">
        <v>162</v>
      </c>
      <c r="I18" s="145">
        <f t="shared" si="3"/>
        <v>2</v>
      </c>
      <c r="J18" s="146">
        <f t="shared" si="2"/>
        <v>1</v>
      </c>
    </row>
    <row r="19" ht="33" customHeight="1" spans="1:10">
      <c r="A19" s="123"/>
      <c r="B19" s="123"/>
      <c r="C19" s="129"/>
      <c r="D19" s="123" t="s">
        <v>163</v>
      </c>
      <c r="E19" s="124">
        <v>2</v>
      </c>
      <c r="F19" s="125" t="s">
        <v>164</v>
      </c>
      <c r="G19" s="123" t="s">
        <v>165</v>
      </c>
      <c r="H19" s="126" t="s">
        <v>166</v>
      </c>
      <c r="I19" s="145">
        <f t="shared" si="3"/>
        <v>2</v>
      </c>
      <c r="J19" s="146">
        <f t="shared" si="2"/>
        <v>1</v>
      </c>
    </row>
    <row r="20" ht="33" customHeight="1" spans="1:10">
      <c r="A20" s="128" t="s">
        <v>321</v>
      </c>
      <c r="B20" s="128" t="s">
        <v>8</v>
      </c>
      <c r="C20" s="128" t="s">
        <v>8</v>
      </c>
      <c r="D20" s="128" t="s">
        <v>8</v>
      </c>
      <c r="E20" s="130">
        <v>50</v>
      </c>
      <c r="F20" s="131" t="s">
        <v>769</v>
      </c>
      <c r="G20" s="132"/>
      <c r="H20" s="133"/>
      <c r="I20" s="130">
        <f>'6-3出版产出及绩效计算 '!H8</f>
        <v>46.5192083818393</v>
      </c>
      <c r="J20" s="146">
        <f t="shared" si="2"/>
        <v>0.930384167636787</v>
      </c>
    </row>
    <row r="21" ht="33" customHeight="1" spans="1:10">
      <c r="A21" s="129"/>
      <c r="B21" s="128" t="s">
        <v>9</v>
      </c>
      <c r="C21" s="128" t="s">
        <v>9</v>
      </c>
      <c r="D21" s="128" t="s">
        <v>9</v>
      </c>
      <c r="E21" s="134"/>
      <c r="F21" s="131" t="s">
        <v>769</v>
      </c>
      <c r="G21" s="132"/>
      <c r="H21" s="133"/>
      <c r="I21" s="134"/>
      <c r="J21" s="146"/>
    </row>
    <row r="22" ht="32.4" customHeight="1" spans="1:10">
      <c r="A22" s="129"/>
      <c r="B22" s="128" t="s">
        <v>169</v>
      </c>
      <c r="C22" s="123" t="s">
        <v>170</v>
      </c>
      <c r="D22" s="135" t="s">
        <v>171</v>
      </c>
      <c r="E22" s="136">
        <v>2</v>
      </c>
      <c r="F22" s="137" t="s">
        <v>770</v>
      </c>
      <c r="G22" s="127" t="s">
        <v>173</v>
      </c>
      <c r="H22" s="125" t="s">
        <v>771</v>
      </c>
      <c r="I22" s="145">
        <f t="shared" ref="I22:I28" si="4">E22</f>
        <v>2</v>
      </c>
      <c r="J22" s="146">
        <f t="shared" ref="J22:J29" si="5">I22/E22</f>
        <v>1</v>
      </c>
    </row>
    <row r="23" ht="58.2" customHeight="1" spans="1:10">
      <c r="A23" s="129"/>
      <c r="B23" s="129"/>
      <c r="C23" s="123" t="s">
        <v>175</v>
      </c>
      <c r="D23" s="135" t="s">
        <v>772</v>
      </c>
      <c r="E23" s="136">
        <v>1</v>
      </c>
      <c r="F23" s="137" t="s">
        <v>773</v>
      </c>
      <c r="G23" s="127">
        <v>1</v>
      </c>
      <c r="H23" s="125" t="s">
        <v>774</v>
      </c>
      <c r="I23" s="145">
        <f t="shared" si="4"/>
        <v>1</v>
      </c>
      <c r="J23" s="146">
        <f t="shared" si="5"/>
        <v>1</v>
      </c>
    </row>
    <row r="24" ht="58.2" customHeight="1" spans="1:10">
      <c r="A24" s="129"/>
      <c r="B24" s="129"/>
      <c r="C24" s="123" t="s">
        <v>175</v>
      </c>
      <c r="D24" s="135" t="s">
        <v>775</v>
      </c>
      <c r="E24" s="136">
        <v>2</v>
      </c>
      <c r="F24" s="137" t="s">
        <v>776</v>
      </c>
      <c r="G24" s="127" t="s">
        <v>777</v>
      </c>
      <c r="H24" s="138" t="s">
        <v>778</v>
      </c>
      <c r="I24" s="145">
        <f t="shared" si="4"/>
        <v>2</v>
      </c>
      <c r="J24" s="146">
        <f t="shared" si="5"/>
        <v>1</v>
      </c>
    </row>
    <row r="25" ht="58.2" customHeight="1" spans="1:10">
      <c r="A25" s="129"/>
      <c r="B25" s="129"/>
      <c r="C25" s="123" t="s">
        <v>175</v>
      </c>
      <c r="D25" s="135" t="s">
        <v>779</v>
      </c>
      <c r="E25" s="136">
        <v>1</v>
      </c>
      <c r="F25" s="137" t="s">
        <v>780</v>
      </c>
      <c r="G25" s="127">
        <v>1</v>
      </c>
      <c r="H25" s="125" t="s">
        <v>178</v>
      </c>
      <c r="I25" s="145">
        <f t="shared" si="4"/>
        <v>1</v>
      </c>
      <c r="J25" s="146">
        <f t="shared" si="5"/>
        <v>1</v>
      </c>
    </row>
    <row r="26" ht="58.2" customHeight="1" spans="1:10">
      <c r="A26" s="129"/>
      <c r="B26" s="129"/>
      <c r="C26" s="123" t="s">
        <v>175</v>
      </c>
      <c r="D26" s="135" t="s">
        <v>781</v>
      </c>
      <c r="E26" s="136">
        <v>1</v>
      </c>
      <c r="F26" s="137" t="s">
        <v>782</v>
      </c>
      <c r="G26" s="127">
        <v>1</v>
      </c>
      <c r="H26" s="125" t="s">
        <v>178</v>
      </c>
      <c r="I26" s="145">
        <f t="shared" si="4"/>
        <v>1</v>
      </c>
      <c r="J26" s="146">
        <f t="shared" si="5"/>
        <v>1</v>
      </c>
    </row>
    <row r="27" ht="78.6" customHeight="1" spans="1:10">
      <c r="A27" s="129"/>
      <c r="B27" s="129"/>
      <c r="C27" s="123" t="s">
        <v>175</v>
      </c>
      <c r="D27" s="123" t="s">
        <v>783</v>
      </c>
      <c r="E27" s="136">
        <v>1</v>
      </c>
      <c r="F27" s="137" t="s">
        <v>784</v>
      </c>
      <c r="G27" s="127">
        <v>1</v>
      </c>
      <c r="H27" s="125" t="s">
        <v>178</v>
      </c>
      <c r="I27" s="145">
        <f t="shared" si="4"/>
        <v>1</v>
      </c>
      <c r="J27" s="146">
        <f t="shared" si="5"/>
        <v>1</v>
      </c>
    </row>
    <row r="28" ht="54" customHeight="1" spans="1:10">
      <c r="A28" s="139"/>
      <c r="B28" s="139"/>
      <c r="C28" s="123" t="s">
        <v>175</v>
      </c>
      <c r="D28" s="123" t="s">
        <v>785</v>
      </c>
      <c r="E28" s="136">
        <v>2</v>
      </c>
      <c r="F28" s="137" t="s">
        <v>786</v>
      </c>
      <c r="G28" s="127" t="s">
        <v>787</v>
      </c>
      <c r="H28" s="125" t="s">
        <v>788</v>
      </c>
      <c r="I28" s="145">
        <f t="shared" si="4"/>
        <v>2</v>
      </c>
      <c r="J28" s="146">
        <f t="shared" si="5"/>
        <v>1</v>
      </c>
    </row>
    <row r="29" ht="25.5" customHeight="1" spans="1:10">
      <c r="A29" s="140" t="s">
        <v>20</v>
      </c>
      <c r="B29" s="140"/>
      <c r="C29" s="140"/>
      <c r="D29" s="140"/>
      <c r="E29" s="141">
        <f>SUM(E4:E28)</f>
        <v>100</v>
      </c>
      <c r="F29" s="142"/>
      <c r="G29" s="140"/>
      <c r="H29" s="140"/>
      <c r="I29" s="141">
        <f>SUM(I4:I28)</f>
        <v>93.0192083818393</v>
      </c>
      <c r="J29" s="147">
        <f t="shared" si="5"/>
        <v>0.930192083818393</v>
      </c>
    </row>
  </sheetData>
  <mergeCells count="18">
    <mergeCell ref="A2:H2"/>
    <mergeCell ref="F20:H20"/>
    <mergeCell ref="F21:H21"/>
    <mergeCell ref="A29:D29"/>
    <mergeCell ref="A4:A9"/>
    <mergeCell ref="A10:A19"/>
    <mergeCell ref="A20:A28"/>
    <mergeCell ref="B4:B5"/>
    <mergeCell ref="B6:B7"/>
    <mergeCell ref="B8:B9"/>
    <mergeCell ref="B10:B15"/>
    <mergeCell ref="B16:B19"/>
    <mergeCell ref="B22:B28"/>
    <mergeCell ref="C12:C15"/>
    <mergeCell ref="C17:C19"/>
    <mergeCell ref="E20:E21"/>
    <mergeCell ref="I20:I21"/>
    <mergeCell ref="J20:J21"/>
  </mergeCells>
  <printOptions horizontalCentered="1"/>
  <pageMargins left="0.393055555555556" right="0.393055555555556" top="0.354166666666667" bottom="0.354166666666667" header="0.314583333333333" footer="0.118055555555556"/>
  <pageSetup paperSize="9" scale="55"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view="pageBreakPreview" zoomScale="80" zoomScaleNormal="100" workbookViewId="0">
      <pane xSplit="5" ySplit="3" topLeftCell="G4" activePane="bottomRight" state="frozenSplit"/>
      <selection/>
      <selection pane="topRight"/>
      <selection pane="bottomLeft"/>
      <selection pane="bottomRight" activeCell="B18" sqref="B18:B19"/>
    </sheetView>
  </sheetViews>
  <sheetFormatPr defaultColWidth="9" defaultRowHeight="13.5"/>
  <cols>
    <col min="1" max="2" width="16.8" style="78" customWidth="1"/>
    <col min="3" max="3" width="16" style="78" customWidth="1"/>
    <col min="4" max="4" width="28.9" style="78" customWidth="1"/>
    <col min="5" max="5" width="10.6" style="75" customWidth="1"/>
    <col min="6" max="6" width="55.1" style="79" customWidth="1"/>
    <col min="7" max="7" width="40.8" style="78" customWidth="1"/>
    <col min="8" max="8" width="60.3" style="80" customWidth="1"/>
    <col min="9" max="9" width="11.4" style="81" customWidth="1"/>
    <col min="10" max="10" width="8.4" style="80" customWidth="1"/>
    <col min="11" max="16384" width="9" style="80"/>
  </cols>
  <sheetData>
    <row r="1" spans="1:1">
      <c r="A1" s="54" t="s">
        <v>789</v>
      </c>
    </row>
    <row r="2" ht="37" customHeight="1" spans="1:8">
      <c r="A2" s="82"/>
      <c r="B2" s="82"/>
      <c r="C2" s="82"/>
      <c r="D2" s="82"/>
      <c r="E2" s="82"/>
      <c r="F2" s="82"/>
      <c r="G2" s="82"/>
      <c r="H2" s="82"/>
    </row>
    <row r="3" ht="48" customHeight="1" spans="1:10">
      <c r="A3" s="83" t="s">
        <v>185</v>
      </c>
      <c r="B3" s="83" t="s">
        <v>186</v>
      </c>
      <c r="C3" s="83" t="s">
        <v>82</v>
      </c>
      <c r="D3" s="83" t="s">
        <v>83</v>
      </c>
      <c r="E3" s="84" t="s">
        <v>85</v>
      </c>
      <c r="F3" s="83" t="s">
        <v>86</v>
      </c>
      <c r="G3" s="83" t="s">
        <v>87</v>
      </c>
      <c r="H3" s="83" t="s">
        <v>88</v>
      </c>
      <c r="I3" s="109" t="s">
        <v>13</v>
      </c>
      <c r="J3" s="110" t="s">
        <v>89</v>
      </c>
    </row>
    <row r="4" ht="28.2" customHeight="1" spans="1:10">
      <c r="A4" s="85" t="s">
        <v>790</v>
      </c>
      <c r="B4" s="86">
        <f>[4]Sheet2!E47</f>
        <v>1700</v>
      </c>
      <c r="C4" s="59" t="s">
        <v>170</v>
      </c>
      <c r="D4" s="59" t="s">
        <v>791</v>
      </c>
      <c r="E4" s="87">
        <v>5</v>
      </c>
      <c r="F4" s="88" t="s">
        <v>792</v>
      </c>
      <c r="G4" s="89">
        <v>1</v>
      </c>
      <c r="H4" s="90" t="s">
        <v>793</v>
      </c>
      <c r="I4" s="87">
        <f t="shared" ref="I4:I11" si="0">E4</f>
        <v>5</v>
      </c>
      <c r="J4" s="111">
        <f t="shared" ref="J4:J20" si="1">I4/E4</f>
        <v>1</v>
      </c>
    </row>
    <row r="5" ht="33" customHeight="1" spans="1:10">
      <c r="A5" s="91"/>
      <c r="B5" s="91"/>
      <c r="C5" s="59" t="s">
        <v>170</v>
      </c>
      <c r="D5" s="59" t="s">
        <v>794</v>
      </c>
      <c r="E5" s="87">
        <v>10</v>
      </c>
      <c r="F5" s="88" t="s">
        <v>795</v>
      </c>
      <c r="G5" s="59" t="s">
        <v>796</v>
      </c>
      <c r="H5" s="90" t="s">
        <v>797</v>
      </c>
      <c r="I5" s="87">
        <f t="shared" si="0"/>
        <v>10</v>
      </c>
      <c r="J5" s="111">
        <f t="shared" si="1"/>
        <v>1</v>
      </c>
    </row>
    <row r="6" ht="33" customHeight="1" spans="1:10">
      <c r="A6" s="91"/>
      <c r="B6" s="91"/>
      <c r="C6" s="59" t="s">
        <v>170</v>
      </c>
      <c r="D6" s="59" t="s">
        <v>798</v>
      </c>
      <c r="E6" s="87">
        <v>10</v>
      </c>
      <c r="F6" s="88" t="s">
        <v>799</v>
      </c>
      <c r="G6" s="59" t="s">
        <v>796</v>
      </c>
      <c r="H6" s="90" t="s">
        <v>800</v>
      </c>
      <c r="I6" s="87">
        <v>7</v>
      </c>
      <c r="J6" s="111">
        <f t="shared" si="1"/>
        <v>0.7</v>
      </c>
    </row>
    <row r="7" ht="33" customHeight="1" spans="1:10">
      <c r="A7" s="91"/>
      <c r="B7" s="91"/>
      <c r="C7" s="59" t="s">
        <v>170</v>
      </c>
      <c r="D7" s="59" t="s">
        <v>801</v>
      </c>
      <c r="E7" s="87">
        <v>10</v>
      </c>
      <c r="F7" s="88" t="s">
        <v>802</v>
      </c>
      <c r="G7" s="59" t="s">
        <v>803</v>
      </c>
      <c r="H7" s="90" t="s">
        <v>804</v>
      </c>
      <c r="I7" s="87">
        <v>9.5</v>
      </c>
      <c r="J7" s="111">
        <f t="shared" si="1"/>
        <v>0.95</v>
      </c>
    </row>
    <row r="8" ht="45" customHeight="1" spans="1:10">
      <c r="A8" s="92"/>
      <c r="B8" s="92"/>
      <c r="C8" s="59" t="s">
        <v>175</v>
      </c>
      <c r="D8" s="59" t="s">
        <v>805</v>
      </c>
      <c r="E8" s="87">
        <v>15</v>
      </c>
      <c r="F8" s="88" t="s">
        <v>806</v>
      </c>
      <c r="G8" s="89" t="s">
        <v>805</v>
      </c>
      <c r="H8" s="88" t="s">
        <v>807</v>
      </c>
      <c r="I8" s="87">
        <f t="shared" si="0"/>
        <v>15</v>
      </c>
      <c r="J8" s="111">
        <f t="shared" si="1"/>
        <v>1</v>
      </c>
    </row>
    <row r="9" ht="45" customHeight="1" spans="1:10">
      <c r="A9" s="85" t="s">
        <v>77</v>
      </c>
      <c r="B9" s="86">
        <f>[4]Sheet2!E49</f>
        <v>1800</v>
      </c>
      <c r="C9" s="59" t="s">
        <v>170</v>
      </c>
      <c r="D9" s="59" t="s">
        <v>791</v>
      </c>
      <c r="E9" s="87">
        <v>10</v>
      </c>
      <c r="F9" s="88" t="s">
        <v>792</v>
      </c>
      <c r="G9" s="89">
        <v>1</v>
      </c>
      <c r="H9" s="90" t="s">
        <v>793</v>
      </c>
      <c r="I9" s="87">
        <f t="shared" si="0"/>
        <v>10</v>
      </c>
      <c r="J9" s="111">
        <f t="shared" si="1"/>
        <v>1</v>
      </c>
    </row>
    <row r="10" ht="45" customHeight="1" spans="1:10">
      <c r="A10" s="91"/>
      <c r="B10" s="91"/>
      <c r="C10" s="59" t="s">
        <v>170</v>
      </c>
      <c r="D10" s="59" t="s">
        <v>808</v>
      </c>
      <c r="E10" s="87">
        <v>10</v>
      </c>
      <c r="F10" s="88" t="s">
        <v>802</v>
      </c>
      <c r="G10" s="59" t="s">
        <v>803</v>
      </c>
      <c r="H10" s="90" t="s">
        <v>809</v>
      </c>
      <c r="I10" s="87">
        <f t="shared" si="0"/>
        <v>10</v>
      </c>
      <c r="J10" s="111">
        <f t="shared" si="1"/>
        <v>1</v>
      </c>
    </row>
    <row r="11" ht="45" customHeight="1" spans="1:10">
      <c r="A11" s="91"/>
      <c r="B11" s="91"/>
      <c r="C11" s="59" t="s">
        <v>175</v>
      </c>
      <c r="D11" s="59" t="s">
        <v>810</v>
      </c>
      <c r="E11" s="87">
        <v>15</v>
      </c>
      <c r="F11" s="88" t="s">
        <v>811</v>
      </c>
      <c r="G11" s="59" t="s">
        <v>812</v>
      </c>
      <c r="H11" s="88" t="s">
        <v>813</v>
      </c>
      <c r="I11" s="87">
        <f t="shared" si="0"/>
        <v>15</v>
      </c>
      <c r="J11" s="111">
        <f t="shared" si="1"/>
        <v>1</v>
      </c>
    </row>
    <row r="12" ht="45" customHeight="1" spans="1:11">
      <c r="A12" s="92"/>
      <c r="B12" s="92"/>
      <c r="C12" s="59" t="s">
        <v>175</v>
      </c>
      <c r="D12" s="89" t="s">
        <v>805</v>
      </c>
      <c r="E12" s="87">
        <v>15</v>
      </c>
      <c r="F12" s="88" t="s">
        <v>806</v>
      </c>
      <c r="G12" s="89" t="s">
        <v>805</v>
      </c>
      <c r="H12" s="88" t="s">
        <v>807</v>
      </c>
      <c r="I12" s="87">
        <v>10</v>
      </c>
      <c r="J12" s="111">
        <f t="shared" si="1"/>
        <v>0.666666666666667</v>
      </c>
      <c r="K12" s="112" t="s">
        <v>814</v>
      </c>
    </row>
    <row r="13" ht="45" customHeight="1" spans="1:10">
      <c r="A13" s="93" t="s">
        <v>815</v>
      </c>
      <c r="B13" s="94">
        <f>[4]Sheet2!E50+[4]Sheet2!E46</f>
        <v>650</v>
      </c>
      <c r="C13" s="95" t="s">
        <v>188</v>
      </c>
      <c r="D13" s="95" t="s">
        <v>816</v>
      </c>
      <c r="E13" s="62">
        <v>5</v>
      </c>
      <c r="F13" s="88" t="s">
        <v>817</v>
      </c>
      <c r="G13" s="89">
        <v>1</v>
      </c>
      <c r="H13" s="90" t="s">
        <v>818</v>
      </c>
      <c r="I13" s="87">
        <f t="shared" ref="I13:I19" si="2">E13</f>
        <v>5</v>
      </c>
      <c r="J13" s="111">
        <f t="shared" si="1"/>
        <v>1</v>
      </c>
    </row>
    <row r="14" ht="45" customHeight="1" spans="1:10">
      <c r="A14" s="96"/>
      <c r="B14" s="96"/>
      <c r="C14" s="95" t="s">
        <v>197</v>
      </c>
      <c r="D14" s="97" t="s">
        <v>819</v>
      </c>
      <c r="E14" s="62">
        <v>10</v>
      </c>
      <c r="F14" s="88" t="s">
        <v>820</v>
      </c>
      <c r="G14" s="89">
        <v>1</v>
      </c>
      <c r="H14" s="88" t="s">
        <v>821</v>
      </c>
      <c r="I14" s="87">
        <f t="shared" si="2"/>
        <v>10</v>
      </c>
      <c r="J14" s="111">
        <f t="shared" si="1"/>
        <v>1</v>
      </c>
    </row>
    <row r="15" ht="45" customHeight="1" spans="1:10">
      <c r="A15" s="96"/>
      <c r="B15" s="96"/>
      <c r="C15" s="95" t="s">
        <v>197</v>
      </c>
      <c r="D15" s="98" t="s">
        <v>508</v>
      </c>
      <c r="E15" s="62">
        <v>10</v>
      </c>
      <c r="F15" s="88" t="s">
        <v>822</v>
      </c>
      <c r="G15" s="89" t="s">
        <v>823</v>
      </c>
      <c r="H15" s="99" t="s">
        <v>824</v>
      </c>
      <c r="I15" s="87">
        <f t="shared" si="2"/>
        <v>10</v>
      </c>
      <c r="J15" s="111">
        <f t="shared" si="1"/>
        <v>1</v>
      </c>
    </row>
    <row r="16" ht="45" customHeight="1" spans="1:10">
      <c r="A16" s="96"/>
      <c r="B16" s="96"/>
      <c r="C16" s="95" t="s">
        <v>175</v>
      </c>
      <c r="D16" s="100" t="s">
        <v>825</v>
      </c>
      <c r="E16" s="62">
        <v>10</v>
      </c>
      <c r="F16" s="88" t="s">
        <v>826</v>
      </c>
      <c r="G16" s="89" t="s">
        <v>827</v>
      </c>
      <c r="H16" s="88" t="s">
        <v>828</v>
      </c>
      <c r="I16" s="87">
        <f t="shared" si="2"/>
        <v>10</v>
      </c>
      <c r="J16" s="111">
        <f t="shared" si="1"/>
        <v>1</v>
      </c>
    </row>
    <row r="17" ht="45" customHeight="1" spans="1:10">
      <c r="A17" s="96"/>
      <c r="B17" s="101"/>
      <c r="C17" s="95" t="s">
        <v>175</v>
      </c>
      <c r="D17" s="102" t="s">
        <v>829</v>
      </c>
      <c r="E17" s="87">
        <v>15</v>
      </c>
      <c r="F17" s="88" t="s">
        <v>830</v>
      </c>
      <c r="G17" s="89" t="s">
        <v>831</v>
      </c>
      <c r="H17" s="88" t="s">
        <v>832</v>
      </c>
      <c r="I17" s="87">
        <f t="shared" si="2"/>
        <v>15</v>
      </c>
      <c r="J17" s="111">
        <f t="shared" si="1"/>
        <v>1</v>
      </c>
    </row>
    <row r="18" ht="79.2" customHeight="1" spans="1:10">
      <c r="A18" s="85" t="s">
        <v>833</v>
      </c>
      <c r="B18" s="86">
        <f>[4]Sheet2!E48</f>
        <v>145</v>
      </c>
      <c r="C18" s="59" t="s">
        <v>188</v>
      </c>
      <c r="D18" s="59" t="s">
        <v>834</v>
      </c>
      <c r="E18" s="62">
        <v>25</v>
      </c>
      <c r="F18" s="88" t="s">
        <v>835</v>
      </c>
      <c r="G18" s="88" t="s">
        <v>836</v>
      </c>
      <c r="H18" s="90" t="s">
        <v>837</v>
      </c>
      <c r="I18" s="87">
        <f t="shared" si="2"/>
        <v>25</v>
      </c>
      <c r="J18" s="111">
        <f t="shared" si="1"/>
        <v>1</v>
      </c>
    </row>
    <row r="19" ht="35" customHeight="1" spans="1:10">
      <c r="A19" s="92"/>
      <c r="B19" s="92"/>
      <c r="C19" s="59" t="s">
        <v>213</v>
      </c>
      <c r="D19" s="59" t="s">
        <v>838</v>
      </c>
      <c r="E19" s="62">
        <v>25</v>
      </c>
      <c r="F19" s="103" t="s">
        <v>839</v>
      </c>
      <c r="G19" s="89">
        <v>1</v>
      </c>
      <c r="H19" s="104" t="s">
        <v>840</v>
      </c>
      <c r="I19" s="87">
        <f t="shared" si="2"/>
        <v>25</v>
      </c>
      <c r="J19" s="111">
        <f t="shared" si="1"/>
        <v>1</v>
      </c>
    </row>
    <row r="20" ht="25.5" customHeight="1" spans="1:10">
      <c r="A20" s="58" t="s">
        <v>20</v>
      </c>
      <c r="B20" s="105">
        <f>SUM(B4:B19)</f>
        <v>4295</v>
      </c>
      <c r="C20" s="106"/>
      <c r="D20" s="106"/>
      <c r="E20" s="107">
        <f>SUM(E4:E19)</f>
        <v>200</v>
      </c>
      <c r="F20" s="108"/>
      <c r="G20" s="58"/>
      <c r="H20" s="58"/>
      <c r="I20" s="107">
        <f>SUM(I4:I19)</f>
        <v>191.5</v>
      </c>
      <c r="J20" s="111">
        <f t="shared" si="1"/>
        <v>0.9575</v>
      </c>
    </row>
  </sheetData>
  <mergeCells count="9">
    <mergeCell ref="A2:H2"/>
    <mergeCell ref="A4:A8"/>
    <mergeCell ref="A9:A12"/>
    <mergeCell ref="A13:A17"/>
    <mergeCell ref="A18:A19"/>
    <mergeCell ref="B4:B8"/>
    <mergeCell ref="B9:B12"/>
    <mergeCell ref="B13:B17"/>
    <mergeCell ref="B18:B19"/>
  </mergeCells>
  <printOptions horizontalCentered="1"/>
  <pageMargins left="0.393055555555556" right="0.393055555555556" top="0.354166666666667" bottom="0.354166666666667" header="0.314583333333333" footer="0.118055555555556"/>
  <pageSetup paperSize="9" scale="46" fitToHeight="5"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799981688894314"/>
    <pageSetUpPr fitToPage="1"/>
  </sheetPr>
  <dimension ref="A1:P17"/>
  <sheetViews>
    <sheetView view="pageBreakPreview" zoomScale="90" zoomScaleNormal="100" workbookViewId="0">
      <selection activeCell="C5" sqref="C5"/>
    </sheetView>
  </sheetViews>
  <sheetFormatPr defaultColWidth="8.7" defaultRowHeight="13.5"/>
  <cols>
    <col min="1" max="2" width="8.7" style="52"/>
    <col min="3" max="3" width="51.1" style="52" customWidth="1"/>
    <col min="4" max="4" width="12.3" style="53" customWidth="1"/>
    <col min="5" max="5" width="10.6" style="52" customWidth="1"/>
    <col min="6" max="6" width="13.3" style="52" customWidth="1"/>
    <col min="7" max="7" width="11.5" style="52" customWidth="1"/>
    <col min="8" max="8" width="11.2" style="52" customWidth="1"/>
    <col min="9" max="12" width="8.7" style="52"/>
    <col min="13" max="15" width="9.9" style="52" customWidth="1"/>
    <col min="16" max="16384" width="8.7" style="52"/>
  </cols>
  <sheetData>
    <row r="1" spans="1:1">
      <c r="A1" s="54" t="s">
        <v>841</v>
      </c>
    </row>
    <row r="2" ht="25.8" customHeight="1" spans="1:16">
      <c r="A2" s="55" t="s">
        <v>842</v>
      </c>
      <c r="B2" s="55"/>
      <c r="C2" s="55"/>
      <c r="D2" s="55"/>
      <c r="E2" s="55"/>
      <c r="F2" s="55"/>
      <c r="G2" s="55"/>
      <c r="H2" s="55"/>
      <c r="I2" s="73" t="s">
        <v>8</v>
      </c>
      <c r="J2" s="73"/>
      <c r="K2" s="73"/>
      <c r="L2" s="73"/>
      <c r="M2" s="73" t="s">
        <v>9</v>
      </c>
      <c r="N2" s="73"/>
      <c r="O2" s="73"/>
      <c r="P2" s="73"/>
    </row>
    <row r="3" ht="37.05" customHeight="1" spans="1:16">
      <c r="A3" s="56" t="s">
        <v>3</v>
      </c>
      <c r="B3" s="56" t="s">
        <v>24</v>
      </c>
      <c r="C3" s="56" t="s">
        <v>25</v>
      </c>
      <c r="D3" s="57" t="s">
        <v>298</v>
      </c>
      <c r="E3" s="56" t="s">
        <v>299</v>
      </c>
      <c r="F3" s="58" t="s">
        <v>300</v>
      </c>
      <c r="G3" s="58" t="s">
        <v>13</v>
      </c>
      <c r="H3" s="58" t="s">
        <v>301</v>
      </c>
      <c r="I3" s="73" t="s">
        <v>11</v>
      </c>
      <c r="J3" s="73" t="s">
        <v>452</v>
      </c>
      <c r="K3" s="73" t="s">
        <v>13</v>
      </c>
      <c r="L3" s="74" t="s">
        <v>303</v>
      </c>
      <c r="M3" s="73" t="s">
        <v>11</v>
      </c>
      <c r="N3" s="73" t="s">
        <v>452</v>
      </c>
      <c r="O3" s="73" t="s">
        <v>13</v>
      </c>
      <c r="P3" s="74" t="s">
        <v>303</v>
      </c>
    </row>
    <row r="4" ht="27" customHeight="1" spans="1:16">
      <c r="A4" s="59" t="s">
        <v>74</v>
      </c>
      <c r="B4" s="60" t="s">
        <v>33</v>
      </c>
      <c r="C4" s="61" t="s">
        <v>790</v>
      </c>
      <c r="D4" s="62">
        <v>1700</v>
      </c>
      <c r="E4" s="62">
        <v>50</v>
      </c>
      <c r="F4" s="63">
        <f>E4*D4/$D$8</f>
        <v>19.790454016298</v>
      </c>
      <c r="G4" s="63">
        <v>46.5</v>
      </c>
      <c r="H4" s="63">
        <f>G4*D4/$D$8</f>
        <v>18.4051222351572</v>
      </c>
      <c r="I4" s="75"/>
      <c r="J4" s="75">
        <f>D4/$D$8*I4</f>
        <v>0</v>
      </c>
      <c r="K4" s="75"/>
      <c r="L4" s="75">
        <f>D4/$D$8*K4</f>
        <v>0</v>
      </c>
      <c r="M4" s="75">
        <f>'6-2青岛出版集团产出及效益绩效汇总表 '!E4+'6-2青岛出版集团产出及效益绩效汇总表 '!E5+'6-2青岛出版集团产出及效益绩效汇总表 '!E6+'6-2青岛出版集团产出及效益绩效汇总表 '!E7+'6-2青岛出版集团产出及效益绩效汇总表 '!E8</f>
        <v>50</v>
      </c>
      <c r="N4" s="75">
        <f>D4/$D$8*M4</f>
        <v>19.790454016298</v>
      </c>
      <c r="O4" s="75">
        <f>'6-2青岛出版集团产出及效益绩效汇总表 '!I4+'6-2青岛出版集团产出及效益绩效汇总表 '!I5+'6-2青岛出版集团产出及效益绩效汇总表 '!I6+'6-2青岛出版集团产出及效益绩效汇总表 '!I7+'6-2青岛出版集团产出及效益绩效汇总表 '!I8</f>
        <v>46.5</v>
      </c>
      <c r="P4" s="75">
        <f>D4/$D$8*O4</f>
        <v>18.4051222351572</v>
      </c>
    </row>
    <row r="5" ht="27" customHeight="1" spans="1:16">
      <c r="A5" s="59"/>
      <c r="B5" s="60" t="s">
        <v>34</v>
      </c>
      <c r="C5" s="64" t="s">
        <v>77</v>
      </c>
      <c r="D5" s="62">
        <v>1800</v>
      </c>
      <c r="E5" s="62">
        <v>50</v>
      </c>
      <c r="F5" s="63">
        <f>E5*D5/$D$8</f>
        <v>20.9545983701979</v>
      </c>
      <c r="G5" s="63">
        <v>45</v>
      </c>
      <c r="H5" s="63">
        <f>G5*D5/$D$8</f>
        <v>18.8591385331781</v>
      </c>
      <c r="I5" s="76"/>
      <c r="J5" s="75">
        <f t="shared" ref="J5:J7" si="0">D5/$D$8*I5</f>
        <v>0</v>
      </c>
      <c r="K5" s="76"/>
      <c r="L5" s="75">
        <f t="shared" ref="L5:L7" si="1">D5/$D$8*K5</f>
        <v>0</v>
      </c>
      <c r="M5" s="76">
        <f>'6-2青岛出版集团产出及效益绩效汇总表 '!E9+'6-2青岛出版集团产出及效益绩效汇总表 '!E10+'6-2青岛出版集团产出及效益绩效汇总表 '!E11+'6-2青岛出版集团产出及效益绩效汇总表 '!E12</f>
        <v>50</v>
      </c>
      <c r="N5" s="75">
        <f t="shared" ref="N5:N7" si="2">D5/$D$8*M5</f>
        <v>20.9545983701979</v>
      </c>
      <c r="O5" s="76">
        <f>'6-2青岛出版集团产出及效益绩效汇总表 '!I9+'6-2青岛出版集团产出及效益绩效汇总表 '!I10+'6-2青岛出版集团产出及效益绩效汇总表 '!I11+'6-2青岛出版集团产出及效益绩效汇总表 '!I12</f>
        <v>45</v>
      </c>
      <c r="P5" s="75">
        <f t="shared" ref="P5:P7" si="3">D5/$D$8*O5</f>
        <v>18.8591385331781</v>
      </c>
    </row>
    <row r="6" ht="40" customHeight="1" spans="1:16">
      <c r="A6" s="59"/>
      <c r="B6" s="60" t="s">
        <v>34</v>
      </c>
      <c r="C6" s="64" t="s">
        <v>815</v>
      </c>
      <c r="D6" s="62">
        <v>650</v>
      </c>
      <c r="E6" s="62">
        <v>50</v>
      </c>
      <c r="F6" s="63">
        <f>E6*D6/$D$8</f>
        <v>7.56693830034924</v>
      </c>
      <c r="G6" s="63">
        <v>50</v>
      </c>
      <c r="H6" s="63">
        <f>G6*D6/$D$8</f>
        <v>7.56693830034924</v>
      </c>
      <c r="I6" s="76">
        <f>'6-2青岛出版集团产出及效益绩效汇总表 '!E13+'6-2青岛出版集团产出及效益绩效汇总表 '!E14+'6-2青岛出版集团产出及效益绩效汇总表 '!E15</f>
        <v>25</v>
      </c>
      <c r="J6" s="75">
        <f t="shared" si="0"/>
        <v>3.78346915017462</v>
      </c>
      <c r="K6" s="76">
        <f>'6-2青岛出版集团产出及效益绩效汇总表 '!I13+'6-2青岛出版集团产出及效益绩效汇总表 '!I14+'6-2青岛出版集团产出及效益绩效汇总表 '!I15</f>
        <v>25</v>
      </c>
      <c r="L6" s="75">
        <f t="shared" si="1"/>
        <v>3.78346915017462</v>
      </c>
      <c r="M6" s="76">
        <f>'6-2青岛出版集团产出及效益绩效汇总表 '!E16+'6-2青岛出版集团产出及效益绩效汇总表 '!E17</f>
        <v>25</v>
      </c>
      <c r="N6" s="75">
        <f t="shared" si="2"/>
        <v>3.78346915017462</v>
      </c>
      <c r="O6" s="76">
        <f>'6-2青岛出版集团产出及效益绩效汇总表 '!I16+'6-2青岛出版集团产出及效益绩效汇总表 '!I17</f>
        <v>25</v>
      </c>
      <c r="P6" s="75">
        <f t="shared" si="3"/>
        <v>3.78346915017462</v>
      </c>
    </row>
    <row r="7" ht="27" customHeight="1" spans="1:16">
      <c r="A7" s="59"/>
      <c r="B7" s="60" t="s">
        <v>34</v>
      </c>
      <c r="C7" s="64" t="s">
        <v>833</v>
      </c>
      <c r="D7" s="62">
        <v>145</v>
      </c>
      <c r="E7" s="62">
        <v>50</v>
      </c>
      <c r="F7" s="63">
        <f>E7*D7/$D$8</f>
        <v>1.68800931315483</v>
      </c>
      <c r="G7" s="63">
        <v>50</v>
      </c>
      <c r="H7" s="63">
        <f>G7*D7/$D$8</f>
        <v>1.68800931315483</v>
      </c>
      <c r="I7" s="76">
        <f>'6-2青岛出版集团产出及效益绩效汇总表 '!E18+'6-2青岛出版集团产出及效益绩效汇总表 '!E19</f>
        <v>50</v>
      </c>
      <c r="J7" s="75">
        <f t="shared" si="0"/>
        <v>1.68800931315483</v>
      </c>
      <c r="K7" s="76">
        <f>'6-2青岛出版集团产出及效益绩效汇总表 '!I18+'6-2青岛出版集团产出及效益绩效汇总表 '!I19</f>
        <v>50</v>
      </c>
      <c r="L7" s="75">
        <f t="shared" si="1"/>
        <v>1.68800931315483</v>
      </c>
      <c r="M7" s="76"/>
      <c r="N7" s="75">
        <f t="shared" si="2"/>
        <v>0</v>
      </c>
      <c r="O7" s="76"/>
      <c r="P7" s="75">
        <f t="shared" si="3"/>
        <v>0</v>
      </c>
    </row>
    <row r="8" s="51" customFormat="1" ht="27" customHeight="1" spans="1:16">
      <c r="A8" s="65" t="s">
        <v>20</v>
      </c>
      <c r="B8" s="66"/>
      <c r="C8" s="67"/>
      <c r="D8" s="68">
        <f>SUM(D4:D7)</f>
        <v>4295</v>
      </c>
      <c r="E8" s="69">
        <f t="shared" ref="E8:G8" si="4">SUM(E4:E7)</f>
        <v>200</v>
      </c>
      <c r="F8" s="70">
        <f t="shared" si="4"/>
        <v>50</v>
      </c>
      <c r="G8" s="70">
        <f t="shared" si="4"/>
        <v>191.5</v>
      </c>
      <c r="H8" s="70">
        <f t="shared" ref="H8:P8" si="5">SUM(H4:H7)</f>
        <v>46.5192083818393</v>
      </c>
      <c r="I8" s="75">
        <f t="shared" si="5"/>
        <v>75</v>
      </c>
      <c r="J8" s="75">
        <f t="shared" si="5"/>
        <v>5.47147846332945</v>
      </c>
      <c r="K8" s="75">
        <f t="shared" si="5"/>
        <v>75</v>
      </c>
      <c r="L8" s="75">
        <f t="shared" si="5"/>
        <v>5.47147846332945</v>
      </c>
      <c r="M8" s="75">
        <f t="shared" si="5"/>
        <v>125</v>
      </c>
      <c r="N8" s="75">
        <f t="shared" si="5"/>
        <v>44.5285215366706</v>
      </c>
      <c r="O8" s="75">
        <f t="shared" si="5"/>
        <v>116.5</v>
      </c>
      <c r="P8" s="75">
        <f t="shared" si="5"/>
        <v>41.0477299185099</v>
      </c>
    </row>
    <row r="9" spans="11:16">
      <c r="K9" s="77"/>
      <c r="L9" s="75"/>
      <c r="M9" s="77"/>
      <c r="N9" s="77"/>
      <c r="O9" s="77"/>
      <c r="P9" s="75"/>
    </row>
    <row r="10" spans="7:16">
      <c r="G10" s="71"/>
      <c r="K10" s="77"/>
      <c r="L10" s="75"/>
      <c r="M10" s="77"/>
      <c r="N10" s="77"/>
      <c r="O10" s="77"/>
      <c r="P10" s="75"/>
    </row>
    <row r="11" spans="6:16">
      <c r="F11" s="72"/>
      <c r="G11" s="72"/>
      <c r="K11" s="77"/>
      <c r="L11" s="75"/>
      <c r="M11" s="77"/>
      <c r="N11" s="77"/>
      <c r="O11" s="77"/>
      <c r="P11" s="75"/>
    </row>
    <row r="12" spans="11:16">
      <c r="K12" s="77"/>
      <c r="L12" s="75"/>
      <c r="M12" s="77"/>
      <c r="N12" s="77"/>
      <c r="O12" s="77"/>
      <c r="P12" s="75"/>
    </row>
    <row r="13" spans="11:16">
      <c r="K13" s="77"/>
      <c r="L13" s="75"/>
      <c r="M13" s="77"/>
      <c r="N13" s="77"/>
      <c r="O13" s="77"/>
      <c r="P13" s="75"/>
    </row>
    <row r="14" spans="11:16">
      <c r="K14" s="77"/>
      <c r="L14" s="75"/>
      <c r="M14" s="77"/>
      <c r="N14" s="77"/>
      <c r="O14" s="77"/>
      <c r="P14" s="75"/>
    </row>
    <row r="15" spans="11:16">
      <c r="K15" s="77"/>
      <c r="L15" s="75"/>
      <c r="M15" s="77"/>
      <c r="N15" s="77"/>
      <c r="O15" s="77"/>
      <c r="P15" s="75"/>
    </row>
    <row r="16" spans="11:16">
      <c r="K16" s="77"/>
      <c r="L16" s="75"/>
      <c r="M16" s="77"/>
      <c r="N16" s="77"/>
      <c r="O16" s="77"/>
      <c r="P16" s="75"/>
    </row>
    <row r="17" spans="11:16">
      <c r="K17" s="77"/>
      <c r="L17" s="77"/>
      <c r="M17" s="77"/>
      <c r="N17" s="77"/>
      <c r="O17" s="77"/>
      <c r="P17" s="77"/>
    </row>
  </sheetData>
  <mergeCells count="5">
    <mergeCell ref="A2:H2"/>
    <mergeCell ref="I2:L2"/>
    <mergeCell ref="M2:P2"/>
    <mergeCell ref="A8:C8"/>
    <mergeCell ref="A4:A7"/>
  </mergeCells>
  <pageMargins left="0.75" right="0.75" top="1" bottom="1" header="0.5" footer="0.5"/>
  <pageSetup paperSize="9" scale="63"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4"/>
  <sheetViews>
    <sheetView view="pageBreakPreview" zoomScaleNormal="100" workbookViewId="0">
      <pane xSplit="5" ySplit="2" topLeftCell="F3" activePane="bottomRight" state="frozenSplit"/>
      <selection/>
      <selection pane="topRight"/>
      <selection pane="bottomLeft"/>
      <selection pane="bottomRight" activeCell="D10" sqref="D10"/>
    </sheetView>
  </sheetViews>
  <sheetFormatPr defaultColWidth="9" defaultRowHeight="14.25"/>
  <cols>
    <col min="1" max="1" width="7.2" style="2" customWidth="1"/>
    <col min="3" max="3" width="12.1" style="3" customWidth="1"/>
    <col min="4" max="4" width="39.6" customWidth="1"/>
    <col min="5" max="5" width="15.5" style="4" customWidth="1"/>
    <col min="6" max="6" width="15.8" style="4" customWidth="1"/>
    <col min="7" max="7" width="15.5" style="5" customWidth="1"/>
    <col min="8" max="8" width="13" style="6" customWidth="1"/>
    <col min="9" max="9" width="14.3" customWidth="1"/>
    <col min="10" max="10" width="13" hidden="1" customWidth="1"/>
    <col min="11" max="12" width="9" hidden="1" customWidth="1"/>
    <col min="13" max="13" width="11.2" hidden="1" customWidth="1"/>
    <col min="14" max="14" width="15.7" hidden="1" customWidth="1"/>
    <col min="15" max="15" width="11.9" hidden="1" customWidth="1"/>
    <col min="16" max="17" width="15.7" hidden="1" customWidth="1"/>
    <col min="18" max="18" width="17.7" hidden="1" customWidth="1"/>
    <col min="19" max="19" width="15.7" hidden="1" customWidth="1"/>
    <col min="20" max="20" width="11.4" hidden="1" customWidth="1"/>
    <col min="21" max="21" width="9.6" hidden="1" customWidth="1"/>
    <col min="22" max="22" width="14.4" hidden="1" customWidth="1"/>
    <col min="23" max="25" width="9" hidden="1" customWidth="1"/>
    <col min="27" max="27" width="14.1" style="5" customWidth="1"/>
    <col min="28" max="28" width="15.6" customWidth="1"/>
    <col min="29" max="29" width="16.5" customWidth="1"/>
  </cols>
  <sheetData>
    <row r="1" spans="8:8">
      <c r="H1" s="7"/>
    </row>
    <row r="2" s="1" customFormat="1" ht="49.8" customHeight="1" spans="1:27">
      <c r="A2" s="8" t="s">
        <v>2</v>
      </c>
      <c r="B2" s="9" t="s">
        <v>3</v>
      </c>
      <c r="C2" s="9" t="s">
        <v>24</v>
      </c>
      <c r="D2" s="9" t="s">
        <v>25</v>
      </c>
      <c r="E2" s="10" t="s">
        <v>5</v>
      </c>
      <c r="F2" s="10" t="s">
        <v>843</v>
      </c>
      <c r="G2" s="11" t="s">
        <v>844</v>
      </c>
      <c r="H2" s="12" t="s">
        <v>27</v>
      </c>
      <c r="I2" s="42" t="s">
        <v>845</v>
      </c>
      <c r="J2" s="42" t="s">
        <v>846</v>
      </c>
      <c r="K2" s="42" t="s">
        <v>847</v>
      </c>
      <c r="L2" s="42" t="s">
        <v>848</v>
      </c>
      <c r="M2" s="42" t="s">
        <v>849</v>
      </c>
      <c r="N2" s="42" t="s">
        <v>850</v>
      </c>
      <c r="O2" s="42" t="s">
        <v>851</v>
      </c>
      <c r="P2" s="42" t="s">
        <v>852</v>
      </c>
      <c r="Q2" s="42" t="s">
        <v>853</v>
      </c>
      <c r="R2" s="42" t="s">
        <v>854</v>
      </c>
      <c r="S2" s="42" t="s">
        <v>133</v>
      </c>
      <c r="T2" s="42" t="s">
        <v>855</v>
      </c>
      <c r="U2" s="42" t="s">
        <v>856</v>
      </c>
      <c r="V2" s="42" t="s">
        <v>857</v>
      </c>
      <c r="W2" s="42" t="s">
        <v>858</v>
      </c>
      <c r="X2" s="42" t="s">
        <v>859</v>
      </c>
      <c r="Y2" s="42" t="s">
        <v>860</v>
      </c>
      <c r="Z2" s="9" t="s">
        <v>30</v>
      </c>
      <c r="AA2" s="47"/>
    </row>
    <row r="3" ht="25.8" customHeight="1" spans="1:26">
      <c r="A3" s="13">
        <v>1</v>
      </c>
      <c r="B3" s="14" t="s">
        <v>16</v>
      </c>
      <c r="C3" s="15" t="s">
        <v>33</v>
      </c>
      <c r="D3" s="16" t="s">
        <v>37</v>
      </c>
      <c r="E3" s="17">
        <v>50</v>
      </c>
      <c r="F3" s="17">
        <v>50</v>
      </c>
      <c r="G3" s="17">
        <v>50</v>
      </c>
      <c r="H3" s="18">
        <v>1</v>
      </c>
      <c r="I3" s="18">
        <v>1</v>
      </c>
      <c r="J3" s="43"/>
      <c r="K3" s="43"/>
      <c r="L3" s="43"/>
      <c r="M3" s="43"/>
      <c r="N3" s="43"/>
      <c r="O3" s="43"/>
      <c r="P3" s="43"/>
      <c r="Q3" s="43"/>
      <c r="R3" s="43"/>
      <c r="S3" s="43"/>
      <c r="T3" s="43"/>
      <c r="U3" s="43"/>
      <c r="V3" s="43"/>
      <c r="W3" s="43"/>
      <c r="X3" s="43"/>
      <c r="Y3" s="43"/>
      <c r="Z3" s="48" t="s">
        <v>38</v>
      </c>
    </row>
    <row r="4" ht="25.8" customHeight="1" spans="1:29">
      <c r="A4" s="13">
        <v>2</v>
      </c>
      <c r="B4" s="14"/>
      <c r="C4" s="15" t="s">
        <v>33</v>
      </c>
      <c r="D4" s="19" t="s">
        <v>39</v>
      </c>
      <c r="E4" s="17">
        <v>1900</v>
      </c>
      <c r="F4" s="20">
        <v>1245.087606</v>
      </c>
      <c r="G4" s="21"/>
      <c r="H4" s="22">
        <f>F4/E4</f>
        <v>0.655309266315789</v>
      </c>
      <c r="I4" s="44"/>
      <c r="J4" s="43"/>
      <c r="K4" s="43"/>
      <c r="L4" s="43"/>
      <c r="M4" s="43"/>
      <c r="N4" s="43"/>
      <c r="O4" s="43"/>
      <c r="P4" s="43"/>
      <c r="Q4" s="43"/>
      <c r="R4" s="43"/>
      <c r="S4" s="43"/>
      <c r="T4" s="43"/>
      <c r="U4" s="43"/>
      <c r="V4" s="43"/>
      <c r="W4" s="43"/>
      <c r="X4" s="43"/>
      <c r="Y4" s="43"/>
      <c r="Z4" s="43" t="s">
        <v>40</v>
      </c>
      <c r="AB4" s="5">
        <f>E4+E6</f>
        <v>4700</v>
      </c>
      <c r="AC4" s="5">
        <f>12450876.06/10000</f>
        <v>1245.087606</v>
      </c>
    </row>
    <row r="5" ht="25.8" customHeight="1" spans="1:26">
      <c r="A5" s="13">
        <v>3</v>
      </c>
      <c r="B5" s="14"/>
      <c r="C5" s="15" t="s">
        <v>33</v>
      </c>
      <c r="D5" s="16" t="s">
        <v>41</v>
      </c>
      <c r="E5" s="17">
        <v>300</v>
      </c>
      <c r="F5" s="17">
        <f>2212537.89/10000</f>
        <v>221.253789</v>
      </c>
      <c r="G5" s="17">
        <v>300</v>
      </c>
      <c r="H5" s="18">
        <f>2212537.89/3000000</f>
        <v>0.73751263</v>
      </c>
      <c r="I5" s="45">
        <v>1</v>
      </c>
      <c r="J5" s="43"/>
      <c r="K5" s="43"/>
      <c r="L5" s="43"/>
      <c r="M5" s="43"/>
      <c r="N5" s="43"/>
      <c r="O5" s="43"/>
      <c r="P5" s="43"/>
      <c r="Q5" s="43"/>
      <c r="R5" s="43"/>
      <c r="S5" s="43"/>
      <c r="T5" s="43"/>
      <c r="U5" s="43"/>
      <c r="V5" s="43"/>
      <c r="W5" s="43"/>
      <c r="X5" s="43"/>
      <c r="Y5" s="43"/>
      <c r="Z5" s="43" t="s">
        <v>40</v>
      </c>
    </row>
    <row r="6" ht="25.8" customHeight="1" spans="1:29">
      <c r="A6" s="13">
        <v>4</v>
      </c>
      <c r="B6" s="14"/>
      <c r="C6" s="15" t="s">
        <v>34</v>
      </c>
      <c r="D6" s="19" t="s">
        <v>42</v>
      </c>
      <c r="E6" s="17">
        <v>2800</v>
      </c>
      <c r="F6" s="17">
        <v>0</v>
      </c>
      <c r="G6" s="21">
        <f>26796396.04/10000</f>
        <v>2679.639604</v>
      </c>
      <c r="H6" s="18">
        <v>0</v>
      </c>
      <c r="I6" s="46">
        <f>26796396.04/(E6*10000+E4*10000)</f>
        <v>0.570136085957447</v>
      </c>
      <c r="J6" s="26"/>
      <c r="K6" s="43"/>
      <c r="L6" s="43"/>
      <c r="M6" s="43"/>
      <c r="N6" s="43"/>
      <c r="O6" s="43"/>
      <c r="P6" s="43"/>
      <c r="Q6" s="43"/>
      <c r="R6" s="43"/>
      <c r="S6" s="43"/>
      <c r="T6" s="43"/>
      <c r="U6" s="43"/>
      <c r="V6" s="43"/>
      <c r="W6" s="43"/>
      <c r="X6" s="43"/>
      <c r="Y6" s="43"/>
      <c r="Z6" s="43" t="s">
        <v>40</v>
      </c>
      <c r="AC6" s="6">
        <f>AC4/AB4</f>
        <v>0.264912256595745</v>
      </c>
    </row>
    <row r="7" ht="25.8" customHeight="1" spans="1:26">
      <c r="A7" s="13">
        <v>5</v>
      </c>
      <c r="B7" s="14"/>
      <c r="C7" s="15" t="s">
        <v>34</v>
      </c>
      <c r="D7" s="23" t="s">
        <v>43</v>
      </c>
      <c r="E7" s="17">
        <v>200</v>
      </c>
      <c r="F7" s="17">
        <f>473064/10000</f>
        <v>47.3064</v>
      </c>
      <c r="G7" s="17">
        <v>200</v>
      </c>
      <c r="H7" s="18">
        <f>473064/(E7*10000)</f>
        <v>0.236532</v>
      </c>
      <c r="I7" s="45">
        <v>1</v>
      </c>
      <c r="J7" s="43"/>
      <c r="K7" s="43"/>
      <c r="L7" s="43"/>
      <c r="M7" s="43"/>
      <c r="N7" s="43"/>
      <c r="O7" s="43"/>
      <c r="P7" s="43"/>
      <c r="Q7" s="43"/>
      <c r="R7" s="43"/>
      <c r="S7" s="43"/>
      <c r="T7" s="43"/>
      <c r="U7" s="43"/>
      <c r="V7" s="43"/>
      <c r="W7" s="43"/>
      <c r="X7" s="43"/>
      <c r="Y7" s="43"/>
      <c r="Z7" s="48" t="s">
        <v>38</v>
      </c>
    </row>
    <row r="8" ht="25.8" customHeight="1" spans="1:26">
      <c r="A8" s="13">
        <v>6</v>
      </c>
      <c r="B8" s="14"/>
      <c r="C8" s="15" t="s">
        <v>34</v>
      </c>
      <c r="D8" s="16" t="s">
        <v>44</v>
      </c>
      <c r="E8" s="17">
        <v>200</v>
      </c>
      <c r="F8" s="17">
        <v>200</v>
      </c>
      <c r="G8" s="17">
        <v>200</v>
      </c>
      <c r="H8" s="18">
        <v>1</v>
      </c>
      <c r="I8" s="18">
        <v>1</v>
      </c>
      <c r="J8" s="43"/>
      <c r="K8" s="43"/>
      <c r="L8" s="43"/>
      <c r="M8" s="43"/>
      <c r="N8" s="43"/>
      <c r="O8" s="43"/>
      <c r="P8" s="43"/>
      <c r="Q8" s="43"/>
      <c r="R8" s="43"/>
      <c r="S8" s="43"/>
      <c r="T8" s="43"/>
      <c r="U8" s="43"/>
      <c r="V8" s="43"/>
      <c r="W8" s="43"/>
      <c r="X8" s="43"/>
      <c r="Y8" s="43"/>
      <c r="Z8" s="48" t="s">
        <v>38</v>
      </c>
    </row>
    <row r="9" ht="25.8" customHeight="1" spans="1:26">
      <c r="A9" s="13">
        <v>7</v>
      </c>
      <c r="B9" s="14"/>
      <c r="C9" s="15" t="s">
        <v>34</v>
      </c>
      <c r="D9" s="24" t="s">
        <v>45</v>
      </c>
      <c r="E9" s="17">
        <v>230</v>
      </c>
      <c r="F9" s="17">
        <v>230</v>
      </c>
      <c r="G9" s="17">
        <v>230</v>
      </c>
      <c r="H9" s="18">
        <v>1</v>
      </c>
      <c r="I9" s="18">
        <v>1</v>
      </c>
      <c r="J9" s="43"/>
      <c r="K9" s="43"/>
      <c r="L9" s="43"/>
      <c r="M9" s="43"/>
      <c r="N9" s="43"/>
      <c r="O9" s="43"/>
      <c r="P9" s="43"/>
      <c r="Q9" s="43"/>
      <c r="R9" s="43"/>
      <c r="S9" s="43"/>
      <c r="T9" s="43"/>
      <c r="U9" s="43"/>
      <c r="V9" s="43"/>
      <c r="W9" s="43"/>
      <c r="X9" s="43"/>
      <c r="Y9" s="43"/>
      <c r="Z9" s="48" t="s">
        <v>38</v>
      </c>
    </row>
    <row r="10" ht="25.8" customHeight="1" spans="1:26">
      <c r="A10" s="13">
        <v>8</v>
      </c>
      <c r="B10" s="14" t="s">
        <v>32</v>
      </c>
      <c r="C10" s="15" t="s">
        <v>33</v>
      </c>
      <c r="D10" s="25" t="s">
        <v>46</v>
      </c>
      <c r="E10" s="17">
        <v>1755</v>
      </c>
      <c r="F10" s="17">
        <f>SUM(F11:F14)</f>
        <v>1260.18714</v>
      </c>
      <c r="G10" s="21"/>
      <c r="H10" s="26">
        <f>F10/(E10)</f>
        <v>0.71805535042735</v>
      </c>
      <c r="I10" s="43"/>
      <c r="J10" s="43"/>
      <c r="K10" s="43"/>
      <c r="L10" s="43"/>
      <c r="M10" s="43"/>
      <c r="N10" s="43"/>
      <c r="O10" s="43"/>
      <c r="P10" s="43"/>
      <c r="Q10" s="43"/>
      <c r="R10" s="43"/>
      <c r="S10" s="43"/>
      <c r="T10" s="43"/>
      <c r="U10" s="43"/>
      <c r="V10" s="43"/>
      <c r="W10" s="43"/>
      <c r="X10" s="43"/>
      <c r="Y10" s="43"/>
      <c r="Z10" s="43" t="s">
        <v>40</v>
      </c>
    </row>
    <row r="11" ht="25.8" hidden="1" customHeight="1" spans="1:26">
      <c r="A11" s="13"/>
      <c r="B11" s="14"/>
      <c r="C11" s="15" t="s">
        <v>33</v>
      </c>
      <c r="D11" s="27" t="s">
        <v>861</v>
      </c>
      <c r="E11" s="20">
        <f>400+300</f>
        <v>700</v>
      </c>
      <c r="F11" s="20">
        <f>5173726.62/10000</f>
        <v>517.372662</v>
      </c>
      <c r="G11" s="21"/>
      <c r="H11" s="26">
        <f t="shared" ref="H11:H14" si="0">F11/(E11)</f>
        <v>0.739103802857143</v>
      </c>
      <c r="I11" s="43"/>
      <c r="J11" s="43"/>
      <c r="K11" s="43"/>
      <c r="L11" s="43"/>
      <c r="M11" s="43"/>
      <c r="N11" s="43"/>
      <c r="O11" s="43"/>
      <c r="P11" s="43"/>
      <c r="Q11" s="43"/>
      <c r="R11" s="43"/>
      <c r="S11" s="43"/>
      <c r="T11" s="43"/>
      <c r="U11" s="43"/>
      <c r="V11" s="43"/>
      <c r="W11" s="43"/>
      <c r="X11" s="43"/>
      <c r="Y11" s="43"/>
      <c r="Z11" s="43"/>
    </row>
    <row r="12" ht="25.8" hidden="1" customHeight="1" spans="1:26">
      <c r="A12" s="13"/>
      <c r="B12" s="14"/>
      <c r="C12" s="15" t="s">
        <v>33</v>
      </c>
      <c r="D12" s="27" t="s">
        <v>862</v>
      </c>
      <c r="E12" s="20">
        <v>595</v>
      </c>
      <c r="F12" s="20">
        <f>3616554.79/10000</f>
        <v>361.655479</v>
      </c>
      <c r="G12" s="21"/>
      <c r="H12" s="26">
        <f t="shared" si="0"/>
        <v>0.607824334453782</v>
      </c>
      <c r="I12" s="43"/>
      <c r="J12" s="43"/>
      <c r="K12" s="43"/>
      <c r="L12" s="43"/>
      <c r="M12" s="43"/>
      <c r="N12" s="43"/>
      <c r="O12" s="43"/>
      <c r="P12" s="43"/>
      <c r="Q12" s="43"/>
      <c r="R12" s="43"/>
      <c r="S12" s="43"/>
      <c r="T12" s="43"/>
      <c r="U12" s="43"/>
      <c r="V12" s="43"/>
      <c r="W12" s="43"/>
      <c r="X12" s="43"/>
      <c r="Y12" s="43"/>
      <c r="Z12" s="43"/>
    </row>
    <row r="13" ht="25.8" hidden="1" customHeight="1" spans="1:26">
      <c r="A13" s="13"/>
      <c r="B13" s="14"/>
      <c r="C13" s="15" t="s">
        <v>33</v>
      </c>
      <c r="D13" s="27" t="s">
        <v>863</v>
      </c>
      <c r="E13" s="20">
        <v>260</v>
      </c>
      <c r="F13" s="20">
        <f>2539421.56/10000</f>
        <v>253.942156</v>
      </c>
      <c r="G13" s="21"/>
      <c r="H13" s="26">
        <f t="shared" si="0"/>
        <v>0.9767006</v>
      </c>
      <c r="I13" s="43"/>
      <c r="J13" s="43"/>
      <c r="K13" s="43"/>
      <c r="L13" s="43"/>
      <c r="M13" s="43"/>
      <c r="N13" s="43"/>
      <c r="O13" s="43"/>
      <c r="P13" s="43"/>
      <c r="Q13" s="43"/>
      <c r="R13" s="43"/>
      <c r="S13" s="43"/>
      <c r="T13" s="43"/>
      <c r="U13" s="43"/>
      <c r="V13" s="43"/>
      <c r="W13" s="43"/>
      <c r="X13" s="43"/>
      <c r="Y13" s="43"/>
      <c r="Z13" s="43"/>
    </row>
    <row r="14" ht="25.8" hidden="1" customHeight="1" spans="1:26">
      <c r="A14" s="13"/>
      <c r="B14" s="14"/>
      <c r="C14" s="15" t="s">
        <v>33</v>
      </c>
      <c r="D14" s="27" t="s">
        <v>864</v>
      </c>
      <c r="E14" s="20">
        <v>200</v>
      </c>
      <c r="F14" s="20">
        <f>1272168.43/10000</f>
        <v>127.216843</v>
      </c>
      <c r="G14" s="21"/>
      <c r="H14" s="26">
        <f t="shared" si="0"/>
        <v>0.636084215</v>
      </c>
      <c r="I14" s="43"/>
      <c r="J14" s="43"/>
      <c r="K14" s="43"/>
      <c r="L14" s="43"/>
      <c r="M14" s="43"/>
      <c r="N14" s="43"/>
      <c r="O14" s="43"/>
      <c r="P14" s="43"/>
      <c r="Q14" s="43"/>
      <c r="R14" s="43"/>
      <c r="S14" s="43"/>
      <c r="T14" s="43"/>
      <c r="U14" s="43"/>
      <c r="V14" s="43"/>
      <c r="W14" s="43"/>
      <c r="X14" s="43"/>
      <c r="Y14" s="43"/>
      <c r="Z14" s="43"/>
    </row>
    <row r="15" ht="25.8" hidden="1" customHeight="1" spans="1:27">
      <c r="A15" s="13">
        <v>9</v>
      </c>
      <c r="B15" s="14"/>
      <c r="C15" s="15" t="s">
        <v>33</v>
      </c>
      <c r="D15" s="24" t="s">
        <v>865</v>
      </c>
      <c r="E15" s="17">
        <v>3605</v>
      </c>
      <c r="F15" s="17">
        <v>3605</v>
      </c>
      <c r="G15" s="21"/>
      <c r="H15" s="26">
        <f>F15/E15</f>
        <v>1</v>
      </c>
      <c r="I15" s="43"/>
      <c r="J15" s="43"/>
      <c r="K15" s="43"/>
      <c r="L15" s="43"/>
      <c r="M15" s="43"/>
      <c r="N15" s="43"/>
      <c r="O15" s="43"/>
      <c r="P15" s="43"/>
      <c r="Q15" s="43"/>
      <c r="R15" s="43"/>
      <c r="S15" s="43"/>
      <c r="T15" s="43"/>
      <c r="U15" s="43"/>
      <c r="V15" s="43"/>
      <c r="W15" s="43"/>
      <c r="X15" s="43"/>
      <c r="Y15" s="43"/>
      <c r="Z15" s="43"/>
      <c r="AA15" s="5">
        <f>E15+F15</f>
        <v>7210</v>
      </c>
    </row>
    <row r="16" ht="25.8" hidden="1" customHeight="1" spans="1:28">
      <c r="A16" s="13">
        <v>10</v>
      </c>
      <c r="B16" s="14"/>
      <c r="C16" s="15" t="s">
        <v>33</v>
      </c>
      <c r="D16" s="28" t="s">
        <v>866</v>
      </c>
      <c r="E16" s="17">
        <v>702.76</v>
      </c>
      <c r="F16" s="17">
        <v>702.76</v>
      </c>
      <c r="G16" s="21"/>
      <c r="H16" s="26">
        <f>F16/E16</f>
        <v>1</v>
      </c>
      <c r="I16" s="43"/>
      <c r="J16" s="43"/>
      <c r="K16" s="43"/>
      <c r="L16" s="43"/>
      <c r="M16" s="43"/>
      <c r="N16" s="43"/>
      <c r="O16" s="43"/>
      <c r="P16" s="43"/>
      <c r="Q16" s="43"/>
      <c r="R16" s="43"/>
      <c r="S16" s="43"/>
      <c r="T16" s="43"/>
      <c r="U16" s="43"/>
      <c r="V16" s="43"/>
      <c r="W16" s="43"/>
      <c r="X16" s="43"/>
      <c r="Y16" s="43"/>
      <c r="Z16" s="43"/>
      <c r="AA16" s="5">
        <v>4596</v>
      </c>
      <c r="AB16" s="5">
        <v>4442.6</v>
      </c>
    </row>
    <row r="17" ht="25.8" customHeight="1" spans="1:28">
      <c r="A17" s="13">
        <v>11</v>
      </c>
      <c r="B17" s="14"/>
      <c r="C17" s="15" t="s">
        <v>34</v>
      </c>
      <c r="D17" s="28" t="s">
        <v>47</v>
      </c>
      <c r="E17" s="17">
        <v>1080</v>
      </c>
      <c r="F17" s="17">
        <f>F18+F19+F20</f>
        <v>67.2085</v>
      </c>
      <c r="G17" s="17">
        <f>G18+G19+G20</f>
        <v>5612085</v>
      </c>
      <c r="H17" s="26">
        <f t="shared" ref="H17:H20" si="1">F17/(E17)</f>
        <v>0.0622300925925926</v>
      </c>
      <c r="I17" s="26">
        <f>G17/10000/E17</f>
        <v>0.5196375</v>
      </c>
      <c r="J17" s="43"/>
      <c r="K17" s="43"/>
      <c r="L17" s="43"/>
      <c r="M17" s="43"/>
      <c r="N17" s="43"/>
      <c r="O17" s="43"/>
      <c r="P17" s="43"/>
      <c r="Q17" s="43"/>
      <c r="R17" s="43"/>
      <c r="S17" s="43"/>
      <c r="T17" s="43"/>
      <c r="U17" s="43"/>
      <c r="V17" s="43"/>
      <c r="W17" s="43"/>
      <c r="X17" s="43"/>
      <c r="Y17" s="43"/>
      <c r="Z17" s="43" t="s">
        <v>40</v>
      </c>
      <c r="AA17" s="49">
        <f>AA16-E15</f>
        <v>991</v>
      </c>
      <c r="AB17" s="5">
        <f>AB16-E15</f>
        <v>837.6</v>
      </c>
    </row>
    <row r="18" ht="25.8" hidden="1" customHeight="1" spans="1:28">
      <c r="A18" s="13"/>
      <c r="B18" s="14"/>
      <c r="C18" s="15" t="s">
        <v>34</v>
      </c>
      <c r="D18" s="27" t="s">
        <v>867</v>
      </c>
      <c r="E18" s="20">
        <v>520</v>
      </c>
      <c r="F18" s="20"/>
      <c r="G18" s="21">
        <v>4940000</v>
      </c>
      <c r="H18" s="26">
        <f t="shared" si="1"/>
        <v>0</v>
      </c>
      <c r="I18" s="43"/>
      <c r="J18" s="43"/>
      <c r="K18" s="43"/>
      <c r="L18" s="43"/>
      <c r="M18" s="43"/>
      <c r="N18" s="43"/>
      <c r="O18" s="43"/>
      <c r="P18" s="43"/>
      <c r="Q18" s="43"/>
      <c r="R18" s="43"/>
      <c r="S18" s="43"/>
      <c r="T18" s="43"/>
      <c r="U18" s="43"/>
      <c r="V18" s="43"/>
      <c r="W18" s="43"/>
      <c r="X18" s="43"/>
      <c r="Y18" s="43"/>
      <c r="Z18" s="43"/>
      <c r="AA18" s="5">
        <f>AA17-E24</f>
        <v>72.9</v>
      </c>
      <c r="AB18" s="5">
        <f>AB17-E16</f>
        <v>134.84</v>
      </c>
    </row>
    <row r="19" ht="25.8" hidden="1" customHeight="1" spans="1:27">
      <c r="A19" s="13"/>
      <c r="B19" s="14"/>
      <c r="C19" s="15" t="s">
        <v>34</v>
      </c>
      <c r="D19" s="27" t="s">
        <v>868</v>
      </c>
      <c r="E19" s="20">
        <v>240</v>
      </c>
      <c r="F19" s="20">
        <f>672085/10000</f>
        <v>67.2085</v>
      </c>
      <c r="G19" s="21">
        <v>672085</v>
      </c>
      <c r="H19" s="26">
        <f t="shared" si="1"/>
        <v>0.280035416666667</v>
      </c>
      <c r="I19" s="43"/>
      <c r="J19" s="43"/>
      <c r="K19" s="43"/>
      <c r="L19" s="43"/>
      <c r="M19" s="43"/>
      <c r="N19" s="43"/>
      <c r="O19" s="43"/>
      <c r="P19" s="43"/>
      <c r="Q19" s="43"/>
      <c r="R19" s="43"/>
      <c r="S19" s="43"/>
      <c r="T19" s="43"/>
      <c r="U19" s="43"/>
      <c r="V19" s="43"/>
      <c r="W19" s="43"/>
      <c r="X19" s="43"/>
      <c r="Y19" s="43"/>
      <c r="Z19" s="43"/>
      <c r="AA19" s="5">
        <f>AA18+AB18</f>
        <v>207.74</v>
      </c>
    </row>
    <row r="20" ht="25.8" hidden="1" customHeight="1" spans="1:27">
      <c r="A20" s="13"/>
      <c r="B20" s="14"/>
      <c r="C20" s="15" t="s">
        <v>34</v>
      </c>
      <c r="D20" s="27" t="s">
        <v>869</v>
      </c>
      <c r="E20" s="20">
        <v>320</v>
      </c>
      <c r="F20" s="20"/>
      <c r="G20" s="21">
        <v>0</v>
      </c>
      <c r="H20" s="26">
        <f t="shared" si="1"/>
        <v>0</v>
      </c>
      <c r="I20" s="43"/>
      <c r="J20" s="43"/>
      <c r="K20" s="43"/>
      <c r="L20" s="43"/>
      <c r="M20" s="43"/>
      <c r="N20" s="43"/>
      <c r="O20" s="43"/>
      <c r="P20" s="43"/>
      <c r="Q20" s="43"/>
      <c r="R20" s="43"/>
      <c r="S20" s="43"/>
      <c r="T20" s="43"/>
      <c r="U20" s="43"/>
      <c r="V20" s="43"/>
      <c r="W20" s="43"/>
      <c r="X20" s="43"/>
      <c r="Y20" s="43"/>
      <c r="Z20" s="43"/>
      <c r="AA20" s="5">
        <f>E16+E24</f>
        <v>1620.86</v>
      </c>
    </row>
    <row r="21" ht="25.8" customHeight="1" spans="1:27">
      <c r="A21" s="13">
        <v>12</v>
      </c>
      <c r="B21" s="14"/>
      <c r="C21" s="15" t="s">
        <v>34</v>
      </c>
      <c r="D21" s="28" t="s">
        <v>48</v>
      </c>
      <c r="E21" s="17">
        <v>720</v>
      </c>
      <c r="F21" s="17">
        <v>0</v>
      </c>
      <c r="G21" s="21">
        <v>5717753.58</v>
      </c>
      <c r="H21" s="26">
        <f>F21/E21</f>
        <v>0</v>
      </c>
      <c r="I21" s="26">
        <f>G21/10000/E21</f>
        <v>0.794132441666667</v>
      </c>
      <c r="J21" s="43"/>
      <c r="K21" s="43"/>
      <c r="L21" s="43"/>
      <c r="M21" s="43"/>
      <c r="N21" s="43"/>
      <c r="O21" s="43"/>
      <c r="P21" s="43"/>
      <c r="Q21" s="43"/>
      <c r="R21" s="43"/>
      <c r="S21" s="43"/>
      <c r="T21" s="43"/>
      <c r="U21" s="43"/>
      <c r="V21" s="43"/>
      <c r="W21" s="43"/>
      <c r="X21" s="43"/>
      <c r="Y21" s="43"/>
      <c r="Z21" s="43" t="s">
        <v>40</v>
      </c>
      <c r="AA21" s="5">
        <f>E10+E17+E21+E22</f>
        <v>3895</v>
      </c>
    </row>
    <row r="22" ht="25.8" customHeight="1" spans="1:26">
      <c r="A22" s="13">
        <v>13</v>
      </c>
      <c r="B22" s="14"/>
      <c r="C22" s="15" t="s">
        <v>34</v>
      </c>
      <c r="D22" s="19" t="s">
        <v>49</v>
      </c>
      <c r="E22" s="17">
        <v>340</v>
      </c>
      <c r="F22" s="17">
        <v>0</v>
      </c>
      <c r="G22" s="21">
        <v>340</v>
      </c>
      <c r="H22" s="26">
        <f t="shared" ref="H22:H25" si="2">F22/E22</f>
        <v>0</v>
      </c>
      <c r="I22" s="26">
        <f>G22/E22</f>
        <v>1</v>
      </c>
      <c r="J22" s="43"/>
      <c r="K22" s="43"/>
      <c r="L22" s="43"/>
      <c r="M22" s="43"/>
      <c r="N22" s="43"/>
      <c r="O22" s="43"/>
      <c r="P22" s="43"/>
      <c r="Q22" s="43"/>
      <c r="R22" s="43"/>
      <c r="S22" s="43"/>
      <c r="T22" s="43"/>
      <c r="U22" s="43"/>
      <c r="V22" s="43"/>
      <c r="W22" s="43"/>
      <c r="X22" s="43"/>
      <c r="Y22" s="43"/>
      <c r="Z22" s="48" t="s">
        <v>38</v>
      </c>
    </row>
    <row r="23" ht="25.8" hidden="1" customHeight="1" spans="1:26">
      <c r="A23" s="13">
        <v>14</v>
      </c>
      <c r="B23" s="14"/>
      <c r="C23" s="15" t="s">
        <v>34</v>
      </c>
      <c r="D23" s="24" t="s">
        <v>870</v>
      </c>
      <c r="E23" s="17">
        <v>3605</v>
      </c>
      <c r="F23" s="17">
        <v>3605</v>
      </c>
      <c r="G23" s="17">
        <v>3605</v>
      </c>
      <c r="H23" s="26">
        <f t="shared" si="2"/>
        <v>1</v>
      </c>
      <c r="I23" s="26">
        <f t="shared" ref="I23:I26" si="3">G23/E23</f>
        <v>1</v>
      </c>
      <c r="J23" s="43"/>
      <c r="K23" s="43"/>
      <c r="L23" s="43"/>
      <c r="M23" s="43"/>
      <c r="N23" s="43"/>
      <c r="O23" s="43"/>
      <c r="P23" s="43"/>
      <c r="Q23" s="43"/>
      <c r="R23" s="43"/>
      <c r="S23" s="43"/>
      <c r="T23" s="43"/>
      <c r="U23" s="43"/>
      <c r="V23" s="43"/>
      <c r="W23" s="43"/>
      <c r="X23" s="43"/>
      <c r="Y23" s="43"/>
      <c r="Z23" s="43"/>
    </row>
    <row r="24" ht="25.8" hidden="1" customHeight="1" spans="1:26">
      <c r="A24" s="13">
        <v>15</v>
      </c>
      <c r="B24" s="14"/>
      <c r="C24" s="15" t="s">
        <v>34</v>
      </c>
      <c r="D24" s="24" t="s">
        <v>871</v>
      </c>
      <c r="E24" s="17">
        <v>918.1</v>
      </c>
      <c r="F24" s="17">
        <v>918.1</v>
      </c>
      <c r="G24" s="17">
        <v>918.1</v>
      </c>
      <c r="H24" s="26">
        <f t="shared" si="2"/>
        <v>1</v>
      </c>
      <c r="I24" s="26">
        <f t="shared" si="3"/>
        <v>1</v>
      </c>
      <c r="J24" s="43"/>
      <c r="K24" s="43"/>
      <c r="L24" s="43"/>
      <c r="M24" s="43"/>
      <c r="N24" s="43"/>
      <c r="O24" s="43"/>
      <c r="P24" s="43"/>
      <c r="Q24" s="43"/>
      <c r="R24" s="43"/>
      <c r="S24" s="43"/>
      <c r="T24" s="43"/>
      <c r="U24" s="43"/>
      <c r="V24" s="43"/>
      <c r="W24" s="43"/>
      <c r="X24" s="43"/>
      <c r="Y24" s="43"/>
      <c r="Z24" s="43"/>
    </row>
    <row r="25" ht="25.8" customHeight="1" spans="1:26">
      <c r="A25" s="13">
        <v>16</v>
      </c>
      <c r="B25" s="24" t="s">
        <v>50</v>
      </c>
      <c r="C25" s="15" t="s">
        <v>33</v>
      </c>
      <c r="D25" s="16" t="s">
        <v>51</v>
      </c>
      <c r="E25" s="17">
        <v>100</v>
      </c>
      <c r="F25" s="17">
        <v>100</v>
      </c>
      <c r="G25" s="17">
        <v>100</v>
      </c>
      <c r="H25" s="26">
        <f t="shared" si="2"/>
        <v>1</v>
      </c>
      <c r="I25" s="26">
        <f t="shared" si="3"/>
        <v>1</v>
      </c>
      <c r="J25" s="43"/>
      <c r="K25" s="43"/>
      <c r="L25" s="43"/>
      <c r="M25" s="43"/>
      <c r="N25" s="43"/>
      <c r="O25" s="43"/>
      <c r="P25" s="43"/>
      <c r="Q25" s="43"/>
      <c r="R25" s="43"/>
      <c r="S25" s="43"/>
      <c r="T25" s="43"/>
      <c r="U25" s="43"/>
      <c r="V25" s="43"/>
      <c r="W25" s="43"/>
      <c r="X25" s="43"/>
      <c r="Y25" s="43"/>
      <c r="Z25" s="48" t="s">
        <v>38</v>
      </c>
    </row>
    <row r="26" ht="25.8" customHeight="1" spans="1:26">
      <c r="A26" s="13">
        <v>17</v>
      </c>
      <c r="B26" s="24"/>
      <c r="C26" s="15" t="s">
        <v>33</v>
      </c>
      <c r="D26" s="24" t="s">
        <v>52</v>
      </c>
      <c r="E26" s="17">
        <v>50</v>
      </c>
      <c r="F26" s="17">
        <v>50</v>
      </c>
      <c r="G26" s="17">
        <v>50</v>
      </c>
      <c r="H26" s="26">
        <f t="shared" ref="H26:H50" si="4">F26/E26</f>
        <v>1</v>
      </c>
      <c r="I26" s="26">
        <f t="shared" si="3"/>
        <v>1</v>
      </c>
      <c r="J26" s="43"/>
      <c r="K26" s="43"/>
      <c r="L26" s="43"/>
      <c r="M26" s="43"/>
      <c r="N26" s="43"/>
      <c r="O26" s="43"/>
      <c r="P26" s="43"/>
      <c r="Q26" s="43"/>
      <c r="R26" s="43"/>
      <c r="S26" s="43"/>
      <c r="T26" s="43"/>
      <c r="U26" s="43"/>
      <c r="V26" s="43"/>
      <c r="W26" s="43"/>
      <c r="X26" s="43"/>
      <c r="Y26" s="43"/>
      <c r="Z26" s="48" t="s">
        <v>38</v>
      </c>
    </row>
    <row r="27" ht="25.8" customHeight="1" spans="1:26">
      <c r="A27" s="13">
        <v>18</v>
      </c>
      <c r="B27" s="24"/>
      <c r="C27" s="29" t="s">
        <v>33</v>
      </c>
      <c r="D27" s="30" t="s">
        <v>53</v>
      </c>
      <c r="E27" s="20">
        <v>100</v>
      </c>
      <c r="F27" s="17">
        <v>0</v>
      </c>
      <c r="G27" s="21"/>
      <c r="H27" s="26">
        <f t="shared" si="4"/>
        <v>0</v>
      </c>
      <c r="I27" s="43"/>
      <c r="J27" s="43"/>
      <c r="K27" s="43"/>
      <c r="L27" s="43"/>
      <c r="M27" s="43"/>
      <c r="N27" s="43"/>
      <c r="O27" s="43"/>
      <c r="P27" s="43"/>
      <c r="Q27" s="43"/>
      <c r="R27" s="43"/>
      <c r="S27" s="43"/>
      <c r="T27" s="43"/>
      <c r="U27" s="43"/>
      <c r="V27" s="43"/>
      <c r="W27" s="43"/>
      <c r="X27" s="43"/>
      <c r="Y27" s="43"/>
      <c r="Z27" s="48" t="s">
        <v>38</v>
      </c>
    </row>
    <row r="28" ht="25.8" customHeight="1" spans="1:26">
      <c r="A28" s="13">
        <v>19</v>
      </c>
      <c r="B28" s="24"/>
      <c r="C28" s="29" t="s">
        <v>33</v>
      </c>
      <c r="D28" s="27" t="s">
        <v>54</v>
      </c>
      <c r="E28" s="20">
        <v>120</v>
      </c>
      <c r="F28" s="17">
        <f>949849.12/10000</f>
        <v>94.984912</v>
      </c>
      <c r="G28" s="21"/>
      <c r="H28" s="22">
        <f t="shared" si="4"/>
        <v>0.791540933333333</v>
      </c>
      <c r="I28" s="43"/>
      <c r="J28" s="43"/>
      <c r="K28" s="43"/>
      <c r="L28" s="43"/>
      <c r="M28" s="43"/>
      <c r="N28" s="43"/>
      <c r="O28" s="43"/>
      <c r="P28" s="43"/>
      <c r="Q28" s="43"/>
      <c r="R28" s="43"/>
      <c r="S28" s="43"/>
      <c r="T28" s="43"/>
      <c r="U28" s="43"/>
      <c r="V28" s="43"/>
      <c r="W28" s="43"/>
      <c r="X28" s="43"/>
      <c r="Y28" s="43"/>
      <c r="Z28" s="43" t="s">
        <v>40</v>
      </c>
    </row>
    <row r="29" ht="25.8" customHeight="1" spans="1:26">
      <c r="A29" s="13">
        <v>20</v>
      </c>
      <c r="B29" s="24"/>
      <c r="C29" s="29" t="s">
        <v>33</v>
      </c>
      <c r="D29" s="30" t="s">
        <v>55</v>
      </c>
      <c r="E29" s="20">
        <v>80</v>
      </c>
      <c r="F29" s="17">
        <f>799835.5/10000</f>
        <v>79.98355</v>
      </c>
      <c r="G29" s="21"/>
      <c r="H29" s="26">
        <f t="shared" si="4"/>
        <v>0.999794375</v>
      </c>
      <c r="I29" s="43"/>
      <c r="J29" s="43"/>
      <c r="K29" s="43"/>
      <c r="L29" s="43"/>
      <c r="M29" s="43"/>
      <c r="N29" s="43"/>
      <c r="O29" s="43"/>
      <c r="P29" s="43"/>
      <c r="Q29" s="43"/>
      <c r="R29" s="43"/>
      <c r="S29" s="43"/>
      <c r="T29" s="43"/>
      <c r="U29" s="43"/>
      <c r="V29" s="43"/>
      <c r="W29" s="43"/>
      <c r="X29" s="43"/>
      <c r="Y29" s="43"/>
      <c r="Z29" s="43" t="s">
        <v>40</v>
      </c>
    </row>
    <row r="30" ht="25.8" customHeight="1" spans="1:26">
      <c r="A30" s="13">
        <v>21</v>
      </c>
      <c r="B30" s="24"/>
      <c r="C30" s="29" t="s">
        <v>33</v>
      </c>
      <c r="D30" s="30" t="s">
        <v>56</v>
      </c>
      <c r="E30" s="20">
        <v>100</v>
      </c>
      <c r="F30" s="17">
        <f>999040/10000</f>
        <v>99.904</v>
      </c>
      <c r="G30" s="21"/>
      <c r="H30" s="26">
        <f t="shared" si="4"/>
        <v>0.99904</v>
      </c>
      <c r="I30" s="43"/>
      <c r="J30" s="43"/>
      <c r="K30" s="43"/>
      <c r="L30" s="43"/>
      <c r="M30" s="43"/>
      <c r="N30" s="43"/>
      <c r="O30" s="43"/>
      <c r="P30" s="43"/>
      <c r="Q30" s="43"/>
      <c r="R30" s="43"/>
      <c r="S30" s="43"/>
      <c r="T30" s="43"/>
      <c r="U30" s="43"/>
      <c r="V30" s="43"/>
      <c r="W30" s="43"/>
      <c r="X30" s="43"/>
      <c r="Y30" s="43"/>
      <c r="Z30" s="43" t="s">
        <v>40</v>
      </c>
    </row>
    <row r="31" ht="25.8" customHeight="1" spans="1:26">
      <c r="A31" s="13">
        <v>22</v>
      </c>
      <c r="B31" s="24"/>
      <c r="C31" s="29" t="s">
        <v>33</v>
      </c>
      <c r="D31" s="30" t="s">
        <v>57</v>
      </c>
      <c r="E31" s="20">
        <v>840</v>
      </c>
      <c r="F31" s="17">
        <v>835.8</v>
      </c>
      <c r="G31" s="21"/>
      <c r="H31" s="26">
        <f t="shared" si="4"/>
        <v>0.995</v>
      </c>
      <c r="I31" s="43"/>
      <c r="J31" s="43"/>
      <c r="K31" s="43"/>
      <c r="L31" s="43"/>
      <c r="M31" s="43"/>
      <c r="N31" s="43"/>
      <c r="O31" s="43"/>
      <c r="P31" s="43"/>
      <c r="Q31" s="43"/>
      <c r="R31" s="43"/>
      <c r="S31" s="43"/>
      <c r="T31" s="43"/>
      <c r="U31" s="43"/>
      <c r="V31" s="43"/>
      <c r="W31" s="43"/>
      <c r="X31" s="43"/>
      <c r="Y31" s="43"/>
      <c r="Z31" s="43" t="s">
        <v>40</v>
      </c>
    </row>
    <row r="32" ht="25.8" customHeight="1" spans="1:26">
      <c r="A32" s="13">
        <v>23</v>
      </c>
      <c r="B32" s="24"/>
      <c r="C32" s="29" t="s">
        <v>33</v>
      </c>
      <c r="D32" s="30" t="s">
        <v>58</v>
      </c>
      <c r="E32" s="20">
        <v>250</v>
      </c>
      <c r="F32" s="31">
        <v>249.2</v>
      </c>
      <c r="G32" s="21"/>
      <c r="H32" s="26">
        <f t="shared" si="4"/>
        <v>0.9968</v>
      </c>
      <c r="I32" s="43"/>
      <c r="J32" s="43"/>
      <c r="K32" s="43"/>
      <c r="L32" s="43"/>
      <c r="M32" s="43"/>
      <c r="N32" s="43"/>
      <c r="O32" s="43"/>
      <c r="P32" s="43"/>
      <c r="Q32" s="43"/>
      <c r="R32" s="43"/>
      <c r="S32" s="43"/>
      <c r="T32" s="43"/>
      <c r="U32" s="43"/>
      <c r="V32" s="43"/>
      <c r="W32" s="43"/>
      <c r="X32" s="43"/>
      <c r="Y32" s="43"/>
      <c r="Z32" s="43" t="s">
        <v>40</v>
      </c>
    </row>
    <row r="33" ht="25.8" customHeight="1" spans="1:26">
      <c r="A33" s="13">
        <v>24</v>
      </c>
      <c r="B33" s="24"/>
      <c r="C33" s="32" t="s">
        <v>33</v>
      </c>
      <c r="D33" s="33" t="s">
        <v>59</v>
      </c>
      <c r="E33" s="34">
        <v>260</v>
      </c>
      <c r="F33" s="17">
        <f>2592851.39/10000</f>
        <v>259.285139</v>
      </c>
      <c r="G33" s="21"/>
      <c r="H33" s="26">
        <f t="shared" si="4"/>
        <v>0.997250534615385</v>
      </c>
      <c r="I33" s="43"/>
      <c r="J33" s="43"/>
      <c r="K33" s="43"/>
      <c r="L33" s="43"/>
      <c r="M33" s="43"/>
      <c r="N33" s="43"/>
      <c r="O33" s="43"/>
      <c r="P33" s="43"/>
      <c r="Q33" s="43"/>
      <c r="R33" s="43"/>
      <c r="S33" s="43"/>
      <c r="T33" s="43"/>
      <c r="U33" s="43"/>
      <c r="V33" s="43"/>
      <c r="W33" s="43"/>
      <c r="X33" s="43"/>
      <c r="Y33" s="43"/>
      <c r="Z33" s="43" t="s">
        <v>40</v>
      </c>
    </row>
    <row r="34" ht="25.8" customHeight="1" spans="1:26">
      <c r="A34" s="13">
        <v>25</v>
      </c>
      <c r="B34" s="24"/>
      <c r="C34" s="35" t="s">
        <v>34</v>
      </c>
      <c r="D34" s="36" t="s">
        <v>60</v>
      </c>
      <c r="E34" s="37">
        <v>700</v>
      </c>
      <c r="F34" s="17">
        <f>3802521.35/10000</f>
        <v>380.252135</v>
      </c>
      <c r="G34" s="21"/>
      <c r="H34" s="22">
        <f t="shared" si="4"/>
        <v>0.543217335714286</v>
      </c>
      <c r="I34" s="43"/>
      <c r="J34" s="43"/>
      <c r="K34" s="43"/>
      <c r="L34" s="43"/>
      <c r="M34" s="43"/>
      <c r="N34" s="43"/>
      <c r="O34" s="43"/>
      <c r="P34" s="43"/>
      <c r="Q34" s="43"/>
      <c r="R34" s="43"/>
      <c r="S34" s="43"/>
      <c r="T34" s="43"/>
      <c r="U34" s="43"/>
      <c r="V34" s="43"/>
      <c r="W34" s="43"/>
      <c r="X34" s="43"/>
      <c r="Y34" s="43"/>
      <c r="Z34" s="43" t="s">
        <v>40</v>
      </c>
    </row>
    <row r="35" ht="25.8" customHeight="1" spans="1:26">
      <c r="A35" s="13">
        <v>26</v>
      </c>
      <c r="B35" s="24"/>
      <c r="C35" s="29" t="s">
        <v>34</v>
      </c>
      <c r="D35" s="30" t="s">
        <v>62</v>
      </c>
      <c r="E35" s="20">
        <v>1100</v>
      </c>
      <c r="F35" s="17">
        <f>10140290/10000</f>
        <v>1014.029</v>
      </c>
      <c r="G35" s="21"/>
      <c r="H35" s="26">
        <f t="shared" si="4"/>
        <v>0.921844545454545</v>
      </c>
      <c r="I35" s="43"/>
      <c r="J35" s="43"/>
      <c r="K35" s="43"/>
      <c r="L35" s="43"/>
      <c r="M35" s="43"/>
      <c r="N35" s="43"/>
      <c r="O35" s="43"/>
      <c r="P35" s="43"/>
      <c r="Q35" s="43"/>
      <c r="R35" s="43"/>
      <c r="S35" s="43"/>
      <c r="T35" s="43"/>
      <c r="U35" s="43"/>
      <c r="V35" s="43"/>
      <c r="W35" s="43"/>
      <c r="X35" s="43"/>
      <c r="Y35" s="43"/>
      <c r="Z35" s="43" t="s">
        <v>40</v>
      </c>
    </row>
    <row r="36" ht="25.8" customHeight="1" spans="1:26">
      <c r="A36" s="13">
        <v>27</v>
      </c>
      <c r="B36" s="24"/>
      <c r="C36" s="29" t="s">
        <v>34</v>
      </c>
      <c r="D36" s="30" t="s">
        <v>63</v>
      </c>
      <c r="E36" s="20">
        <v>1000</v>
      </c>
      <c r="F36" s="17">
        <f>5507107.46/10000</f>
        <v>550.710746</v>
      </c>
      <c r="G36" s="21"/>
      <c r="H36" s="22">
        <f t="shared" si="4"/>
        <v>0.550710746</v>
      </c>
      <c r="I36" s="43"/>
      <c r="J36" s="43"/>
      <c r="K36" s="43"/>
      <c r="L36" s="43"/>
      <c r="M36" s="43"/>
      <c r="N36" s="43"/>
      <c r="O36" s="43"/>
      <c r="P36" s="43"/>
      <c r="Q36" s="43"/>
      <c r="R36" s="43"/>
      <c r="S36" s="43"/>
      <c r="T36" s="43"/>
      <c r="U36" s="43"/>
      <c r="V36" s="43"/>
      <c r="W36" s="43"/>
      <c r="X36" s="43"/>
      <c r="Y36" s="43"/>
      <c r="Z36" s="43" t="s">
        <v>40</v>
      </c>
    </row>
    <row r="37" ht="25.8" customHeight="1" spans="1:27">
      <c r="A37" s="13">
        <v>28</v>
      </c>
      <c r="B37" s="24"/>
      <c r="C37" s="29" t="s">
        <v>34</v>
      </c>
      <c r="D37" s="30" t="s">
        <v>64</v>
      </c>
      <c r="E37" s="20">
        <v>200</v>
      </c>
      <c r="F37" s="17">
        <v>199.9</v>
      </c>
      <c r="G37" s="21"/>
      <c r="H37" s="26">
        <f t="shared" si="4"/>
        <v>0.9995</v>
      </c>
      <c r="I37" s="43"/>
      <c r="J37" s="43"/>
      <c r="K37" s="43"/>
      <c r="L37" s="43"/>
      <c r="M37" s="43"/>
      <c r="N37" s="43"/>
      <c r="O37" s="43"/>
      <c r="P37" s="43"/>
      <c r="Q37" s="43"/>
      <c r="R37" s="43"/>
      <c r="S37" s="43"/>
      <c r="T37" s="43"/>
      <c r="U37" s="43"/>
      <c r="V37" s="43"/>
      <c r="W37" s="43"/>
      <c r="X37" s="43"/>
      <c r="Y37" s="43"/>
      <c r="Z37" s="48" t="s">
        <v>38</v>
      </c>
      <c r="AA37" s="50" t="s">
        <v>65</v>
      </c>
    </row>
    <row r="38" ht="25.8" customHeight="1" spans="1:26">
      <c r="A38" s="13">
        <v>29</v>
      </c>
      <c r="B38" s="24"/>
      <c r="C38" s="29" t="s">
        <v>34</v>
      </c>
      <c r="D38" s="30" t="s">
        <v>66</v>
      </c>
      <c r="E38" s="20">
        <v>550</v>
      </c>
      <c r="F38" s="17">
        <v>549.5</v>
      </c>
      <c r="G38" s="21"/>
      <c r="H38" s="26">
        <f t="shared" si="4"/>
        <v>0.999090909090909</v>
      </c>
      <c r="I38" s="43"/>
      <c r="J38" s="43"/>
      <c r="K38" s="43"/>
      <c r="L38" s="43"/>
      <c r="M38" s="43"/>
      <c r="N38" s="43"/>
      <c r="O38" s="43"/>
      <c r="P38" s="43"/>
      <c r="Q38" s="43"/>
      <c r="R38" s="43"/>
      <c r="S38" s="43"/>
      <c r="T38" s="43"/>
      <c r="U38" s="43"/>
      <c r="V38" s="43"/>
      <c r="W38" s="43"/>
      <c r="X38" s="43"/>
      <c r="Y38" s="43"/>
      <c r="Z38" s="48" t="s">
        <v>38</v>
      </c>
    </row>
    <row r="39" ht="25.8" customHeight="1" spans="1:26">
      <c r="A39" s="13">
        <v>30</v>
      </c>
      <c r="B39" s="24"/>
      <c r="C39" s="29" t="s">
        <v>34</v>
      </c>
      <c r="D39" s="30" t="s">
        <v>67</v>
      </c>
      <c r="E39" s="20">
        <v>180</v>
      </c>
      <c r="F39" s="17">
        <v>179.9</v>
      </c>
      <c r="G39" s="21"/>
      <c r="H39" s="26">
        <f t="shared" si="4"/>
        <v>0.999444444444444</v>
      </c>
      <c r="I39" s="43"/>
      <c r="J39" s="43"/>
      <c r="K39" s="43"/>
      <c r="L39" s="43"/>
      <c r="M39" s="43"/>
      <c r="N39" s="43"/>
      <c r="O39" s="43"/>
      <c r="P39" s="43"/>
      <c r="Q39" s="43"/>
      <c r="R39" s="43"/>
      <c r="S39" s="43"/>
      <c r="T39" s="43"/>
      <c r="U39" s="43"/>
      <c r="V39" s="43"/>
      <c r="W39" s="43"/>
      <c r="X39" s="43"/>
      <c r="Y39" s="43"/>
      <c r="Z39" s="48" t="s">
        <v>38</v>
      </c>
    </row>
    <row r="40" ht="25.8" customHeight="1" spans="1:26">
      <c r="A40" s="13">
        <v>31</v>
      </c>
      <c r="B40" s="24"/>
      <c r="C40" s="15" t="s">
        <v>34</v>
      </c>
      <c r="D40" s="24" t="s">
        <v>68</v>
      </c>
      <c r="E40" s="17">
        <v>8</v>
      </c>
      <c r="F40" s="17">
        <v>8</v>
      </c>
      <c r="G40" s="17">
        <v>8</v>
      </c>
      <c r="H40" s="26">
        <f t="shared" si="4"/>
        <v>1</v>
      </c>
      <c r="I40" s="43"/>
      <c r="J40" s="43"/>
      <c r="K40" s="43"/>
      <c r="L40" s="43"/>
      <c r="M40" s="43"/>
      <c r="N40" s="43"/>
      <c r="O40" s="43"/>
      <c r="P40" s="43"/>
      <c r="Q40" s="43"/>
      <c r="R40" s="43"/>
      <c r="S40" s="43"/>
      <c r="T40" s="43"/>
      <c r="U40" s="43"/>
      <c r="V40" s="43"/>
      <c r="W40" s="43"/>
      <c r="X40" s="43"/>
      <c r="Y40" s="43"/>
      <c r="Z40" s="48" t="s">
        <v>38</v>
      </c>
    </row>
    <row r="41" ht="25.8" customHeight="1" spans="1:26">
      <c r="A41" s="13">
        <v>32</v>
      </c>
      <c r="B41" s="24"/>
      <c r="C41" s="15" t="s">
        <v>34</v>
      </c>
      <c r="D41" s="24" t="s">
        <v>69</v>
      </c>
      <c r="E41" s="17">
        <v>10</v>
      </c>
      <c r="F41" s="17">
        <v>10</v>
      </c>
      <c r="G41" s="17">
        <v>10</v>
      </c>
      <c r="H41" s="26">
        <f t="shared" si="4"/>
        <v>1</v>
      </c>
      <c r="I41" s="43"/>
      <c r="J41" s="43"/>
      <c r="K41" s="43"/>
      <c r="L41" s="43"/>
      <c r="M41" s="43"/>
      <c r="N41" s="43"/>
      <c r="O41" s="43"/>
      <c r="P41" s="43"/>
      <c r="Q41" s="43"/>
      <c r="R41" s="43"/>
      <c r="S41" s="43"/>
      <c r="T41" s="43"/>
      <c r="U41" s="43"/>
      <c r="V41" s="43"/>
      <c r="W41" s="43"/>
      <c r="X41" s="43"/>
      <c r="Y41" s="43"/>
      <c r="Z41" s="48" t="s">
        <v>38</v>
      </c>
    </row>
    <row r="42" ht="25.8" customHeight="1" spans="1:26">
      <c r="A42" s="13">
        <v>33</v>
      </c>
      <c r="B42" s="24"/>
      <c r="C42" s="15" t="s">
        <v>34</v>
      </c>
      <c r="D42" s="24" t="s">
        <v>70</v>
      </c>
      <c r="E42" s="17">
        <v>12</v>
      </c>
      <c r="F42" s="17">
        <v>12</v>
      </c>
      <c r="G42" s="17">
        <v>12</v>
      </c>
      <c r="H42" s="26">
        <f t="shared" si="4"/>
        <v>1</v>
      </c>
      <c r="I42" s="43"/>
      <c r="J42" s="43"/>
      <c r="K42" s="43"/>
      <c r="L42" s="43"/>
      <c r="M42" s="43"/>
      <c r="N42" s="43"/>
      <c r="O42" s="43"/>
      <c r="P42" s="43"/>
      <c r="Q42" s="43"/>
      <c r="R42" s="43"/>
      <c r="S42" s="43"/>
      <c r="T42" s="43"/>
      <c r="U42" s="43"/>
      <c r="V42" s="43"/>
      <c r="W42" s="43"/>
      <c r="X42" s="43"/>
      <c r="Y42" s="43"/>
      <c r="Z42" s="48" t="s">
        <v>38</v>
      </c>
    </row>
    <row r="43" ht="25.8" customHeight="1" spans="1:26">
      <c r="A43" s="13">
        <v>34</v>
      </c>
      <c r="B43" s="24"/>
      <c r="C43" s="15" t="s">
        <v>34</v>
      </c>
      <c r="D43" s="24" t="s">
        <v>71</v>
      </c>
      <c r="E43" s="17">
        <v>140</v>
      </c>
      <c r="F43" s="17">
        <v>140</v>
      </c>
      <c r="G43" s="17">
        <v>140</v>
      </c>
      <c r="H43" s="26">
        <f t="shared" si="4"/>
        <v>1</v>
      </c>
      <c r="I43" s="43"/>
      <c r="J43" s="43"/>
      <c r="K43" s="43"/>
      <c r="L43" s="43"/>
      <c r="M43" s="43"/>
      <c r="N43" s="43"/>
      <c r="O43" s="43"/>
      <c r="P43" s="43"/>
      <c r="Q43" s="43"/>
      <c r="R43" s="43"/>
      <c r="S43" s="43"/>
      <c r="T43" s="43"/>
      <c r="U43" s="43"/>
      <c r="V43" s="43"/>
      <c r="W43" s="43"/>
      <c r="X43" s="43"/>
      <c r="Y43" s="43"/>
      <c r="Z43" s="48" t="s">
        <v>38</v>
      </c>
    </row>
    <row r="44" ht="25.8" customHeight="1" spans="1:26">
      <c r="A44" s="13">
        <v>35</v>
      </c>
      <c r="B44" s="24"/>
      <c r="C44" s="29" t="s">
        <v>34</v>
      </c>
      <c r="D44" s="30" t="s">
        <v>72</v>
      </c>
      <c r="E44" s="20">
        <v>30</v>
      </c>
      <c r="F44" s="17">
        <v>29.8</v>
      </c>
      <c r="G44" s="21"/>
      <c r="H44" s="26">
        <f t="shared" si="4"/>
        <v>0.993333333333333</v>
      </c>
      <c r="I44" s="43"/>
      <c r="J44" s="43"/>
      <c r="K44" s="43"/>
      <c r="L44" s="43"/>
      <c r="M44" s="43"/>
      <c r="N44" s="43"/>
      <c r="O44" s="43"/>
      <c r="P44" s="43"/>
      <c r="Q44" s="43"/>
      <c r="R44" s="43"/>
      <c r="S44" s="43"/>
      <c r="T44" s="43"/>
      <c r="U44" s="43"/>
      <c r="V44" s="43"/>
      <c r="W44" s="43"/>
      <c r="X44" s="43"/>
      <c r="Y44" s="43"/>
      <c r="Z44" s="48" t="s">
        <v>38</v>
      </c>
    </row>
    <row r="45" ht="25.8" customHeight="1" spans="1:26">
      <c r="A45" s="13">
        <v>36</v>
      </c>
      <c r="B45" s="24"/>
      <c r="C45" s="29" t="s">
        <v>34</v>
      </c>
      <c r="D45" s="30" t="s">
        <v>73</v>
      </c>
      <c r="E45" s="20">
        <v>100</v>
      </c>
      <c r="F45" s="17">
        <f>989950/10000</f>
        <v>98.995</v>
      </c>
      <c r="G45" s="21"/>
      <c r="H45" s="26">
        <f t="shared" si="4"/>
        <v>0.98995</v>
      </c>
      <c r="I45" s="43"/>
      <c r="J45" s="43"/>
      <c r="K45" s="43"/>
      <c r="L45" s="43"/>
      <c r="M45" s="43"/>
      <c r="N45" s="43"/>
      <c r="O45" s="43"/>
      <c r="P45" s="43"/>
      <c r="Q45" s="43"/>
      <c r="R45" s="43"/>
      <c r="S45" s="43"/>
      <c r="T45" s="43"/>
      <c r="U45" s="43"/>
      <c r="V45" s="43"/>
      <c r="W45" s="43"/>
      <c r="X45" s="43"/>
      <c r="Y45" s="43"/>
      <c r="Z45" s="48" t="s">
        <v>38</v>
      </c>
    </row>
    <row r="46" ht="25.8" customHeight="1" spans="1:26">
      <c r="A46" s="13">
        <v>37</v>
      </c>
      <c r="B46" s="38" t="s">
        <v>74</v>
      </c>
      <c r="C46" s="15" t="s">
        <v>33</v>
      </c>
      <c r="D46" s="19" t="s">
        <v>872</v>
      </c>
      <c r="E46" s="17">
        <v>195</v>
      </c>
      <c r="F46" s="17">
        <v>195</v>
      </c>
      <c r="G46" s="17">
        <v>195</v>
      </c>
      <c r="H46" s="26">
        <f t="shared" si="4"/>
        <v>1</v>
      </c>
      <c r="I46" s="43"/>
      <c r="J46" s="43"/>
      <c r="K46" s="43"/>
      <c r="L46" s="43"/>
      <c r="M46" s="43"/>
      <c r="N46" s="43"/>
      <c r="O46" s="43"/>
      <c r="P46" s="43"/>
      <c r="Q46" s="43"/>
      <c r="R46" s="43"/>
      <c r="S46" s="43"/>
      <c r="T46" s="43"/>
      <c r="U46" s="43"/>
      <c r="V46" s="43"/>
      <c r="W46" s="43"/>
      <c r="X46" s="43"/>
      <c r="Y46" s="43"/>
      <c r="Z46" s="48" t="s">
        <v>38</v>
      </c>
    </row>
    <row r="47" ht="25.8" customHeight="1" spans="1:26">
      <c r="A47" s="13">
        <v>38</v>
      </c>
      <c r="B47" s="39"/>
      <c r="C47" s="15" t="s">
        <v>33</v>
      </c>
      <c r="D47" s="24" t="s">
        <v>75</v>
      </c>
      <c r="E47" s="17">
        <v>1700</v>
      </c>
      <c r="F47" s="17">
        <v>1700</v>
      </c>
      <c r="G47" s="17">
        <v>1700</v>
      </c>
      <c r="H47" s="26">
        <f t="shared" si="4"/>
        <v>1</v>
      </c>
      <c r="I47" s="43"/>
      <c r="J47" s="43"/>
      <c r="K47" s="43"/>
      <c r="L47" s="43"/>
      <c r="M47" s="43"/>
      <c r="N47" s="43"/>
      <c r="O47" s="43"/>
      <c r="P47" s="43"/>
      <c r="Q47" s="43"/>
      <c r="R47" s="43"/>
      <c r="S47" s="43"/>
      <c r="T47" s="43"/>
      <c r="U47" s="43"/>
      <c r="V47" s="43"/>
      <c r="W47" s="43"/>
      <c r="X47" s="43"/>
      <c r="Y47" s="43"/>
      <c r="Z47" s="43" t="s">
        <v>40</v>
      </c>
    </row>
    <row r="48" ht="25.8" customHeight="1" spans="1:26">
      <c r="A48" s="13">
        <v>39</v>
      </c>
      <c r="B48" s="39"/>
      <c r="C48" s="15" t="s">
        <v>34</v>
      </c>
      <c r="D48" s="24" t="s">
        <v>76</v>
      </c>
      <c r="E48" s="17">
        <v>145</v>
      </c>
      <c r="F48" s="17">
        <f>1443168/10000</f>
        <v>144.3168</v>
      </c>
      <c r="G48" s="17">
        <f>1443168/10000</f>
        <v>144.3168</v>
      </c>
      <c r="H48" s="26">
        <f t="shared" si="4"/>
        <v>0.995288275862069</v>
      </c>
      <c r="I48" s="43"/>
      <c r="J48" s="43"/>
      <c r="K48" s="43"/>
      <c r="L48" s="43"/>
      <c r="M48" s="43"/>
      <c r="N48" s="43"/>
      <c r="O48" s="43"/>
      <c r="P48" s="43"/>
      <c r="Q48" s="43"/>
      <c r="R48" s="43"/>
      <c r="S48" s="43"/>
      <c r="T48" s="43"/>
      <c r="U48" s="43"/>
      <c r="V48" s="43"/>
      <c r="W48" s="43"/>
      <c r="X48" s="43"/>
      <c r="Y48" s="43"/>
      <c r="Z48" s="48" t="s">
        <v>38</v>
      </c>
    </row>
    <row r="49" ht="25.8" customHeight="1" spans="1:26">
      <c r="A49" s="13">
        <v>40</v>
      </c>
      <c r="B49" s="39"/>
      <c r="C49" s="15" t="s">
        <v>34</v>
      </c>
      <c r="D49" s="24" t="s">
        <v>77</v>
      </c>
      <c r="E49" s="17">
        <v>1800</v>
      </c>
      <c r="F49" s="17">
        <v>1800</v>
      </c>
      <c r="G49" s="17">
        <v>1800</v>
      </c>
      <c r="H49" s="26">
        <f t="shared" si="4"/>
        <v>1</v>
      </c>
      <c r="I49" s="43"/>
      <c r="J49" s="43"/>
      <c r="K49" s="43"/>
      <c r="L49" s="43"/>
      <c r="M49" s="43"/>
      <c r="N49" s="43"/>
      <c r="O49" s="43"/>
      <c r="P49" s="43"/>
      <c r="Q49" s="43"/>
      <c r="R49" s="43"/>
      <c r="S49" s="43"/>
      <c r="T49" s="43"/>
      <c r="U49" s="43"/>
      <c r="V49" s="43"/>
      <c r="W49" s="43"/>
      <c r="X49" s="43"/>
      <c r="Y49" s="43"/>
      <c r="Z49" s="43" t="s">
        <v>40</v>
      </c>
    </row>
    <row r="50" ht="25.8" customHeight="1" spans="1:26">
      <c r="A50" s="13">
        <v>41</v>
      </c>
      <c r="B50" s="40"/>
      <c r="C50" s="15" t="s">
        <v>34</v>
      </c>
      <c r="D50" s="19" t="s">
        <v>78</v>
      </c>
      <c r="E50" s="17">
        <v>455</v>
      </c>
      <c r="F50" s="17">
        <v>455</v>
      </c>
      <c r="G50" s="17">
        <v>455</v>
      </c>
      <c r="H50" s="26">
        <f t="shared" si="4"/>
        <v>1</v>
      </c>
      <c r="I50" s="43"/>
      <c r="J50" s="43"/>
      <c r="K50" s="43"/>
      <c r="L50" s="43"/>
      <c r="M50" s="43"/>
      <c r="N50" s="43"/>
      <c r="O50" s="43"/>
      <c r="P50" s="43"/>
      <c r="Q50" s="43"/>
      <c r="R50" s="43"/>
      <c r="S50" s="43"/>
      <c r="T50" s="43"/>
      <c r="U50" s="43"/>
      <c r="V50" s="43"/>
      <c r="W50" s="43"/>
      <c r="X50" s="43"/>
      <c r="Y50" s="43"/>
      <c r="Z50" s="48" t="s">
        <v>38</v>
      </c>
    </row>
    <row r="52" spans="5:6">
      <c r="E52" s="4">
        <f>SUBTOTAL(9,E3:E51)</f>
        <v>31465.86</v>
      </c>
      <c r="F52" s="4">
        <f>SUBTOTAL(9,F3:F51)</f>
        <v>22715.860357</v>
      </c>
    </row>
    <row r="54" spans="6:6">
      <c r="F54" s="41">
        <f>F52/E52</f>
        <v>0.721920848723029</v>
      </c>
    </row>
  </sheetData>
  <autoFilter ref="A2:Z50">
    <extLst/>
  </autoFilter>
  <mergeCells count="4">
    <mergeCell ref="B3:B9"/>
    <mergeCell ref="B10:B24"/>
    <mergeCell ref="B25:B45"/>
    <mergeCell ref="B46:B50"/>
  </mergeCells>
  <pageMargins left="0.7" right="0.7" top="0.75" bottom="0.75" header="0.3" footer="0.3"/>
  <pageSetup paperSize="9" scale="24" orientation="portrait"/>
  <headerFooter/>
  <colBreaks count="1" manualBreakCount="1">
    <brk id="26"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7"/>
  <sheetViews>
    <sheetView view="pageBreakPreview" zoomScaleNormal="100" workbookViewId="0">
      <pane xSplit="6" ySplit="3" topLeftCell="G37" activePane="bottomRight" state="frozenSplit"/>
      <selection/>
      <selection pane="topRight"/>
      <selection pane="bottomLeft"/>
      <selection pane="bottomRight" activeCell="E28" sqref="E28"/>
    </sheetView>
  </sheetViews>
  <sheetFormatPr defaultColWidth="9" defaultRowHeight="14.25"/>
  <cols>
    <col min="1" max="1" width="12.75" style="315" customWidth="1"/>
    <col min="2" max="2" width="7.125" style="316" customWidth="1"/>
    <col min="3" max="3" width="9" style="315"/>
    <col min="4" max="4" width="12.1" style="317" customWidth="1"/>
    <col min="5" max="5" width="39.6" style="315" customWidth="1"/>
    <col min="6" max="6" width="15.5" style="318" customWidth="1"/>
    <col min="7" max="7" width="15.8" style="318" customWidth="1"/>
    <col min="8" max="8" width="13" style="319" customWidth="1"/>
    <col min="9" max="9" width="13" style="320" customWidth="1"/>
    <col min="10" max="10" width="13" style="319" customWidth="1"/>
    <col min="11" max="11" width="9" style="315"/>
    <col min="12" max="12" width="14.1" style="320" customWidth="1"/>
    <col min="13" max="13" width="15.6" style="315" customWidth="1"/>
    <col min="14" max="14" width="16.5" style="315" customWidth="1"/>
    <col min="15" max="16384" width="9" style="315"/>
  </cols>
  <sheetData>
    <row r="1" spans="1:1">
      <c r="A1" s="54" t="s">
        <v>21</v>
      </c>
    </row>
    <row r="2" ht="24.6" customHeight="1" spans="1:11">
      <c r="A2" s="321" t="s">
        <v>22</v>
      </c>
      <c r="B2" s="321"/>
      <c r="C2" s="321"/>
      <c r="D2" s="321"/>
      <c r="E2" s="321"/>
      <c r="F2" s="321"/>
      <c r="G2" s="321"/>
      <c r="H2" s="321"/>
      <c r="I2" s="340"/>
      <c r="J2" s="321"/>
      <c r="K2" s="321"/>
    </row>
    <row r="3" s="314" customFormat="1" ht="49.8" customHeight="1" spans="1:12">
      <c r="A3" s="322" t="s">
        <v>23</v>
      </c>
      <c r="B3" s="323" t="s">
        <v>2</v>
      </c>
      <c r="C3" s="322" t="s">
        <v>3</v>
      </c>
      <c r="D3" s="322" t="s">
        <v>24</v>
      </c>
      <c r="E3" s="322" t="s">
        <v>25</v>
      </c>
      <c r="F3" s="11" t="s">
        <v>5</v>
      </c>
      <c r="G3" s="11" t="s">
        <v>26</v>
      </c>
      <c r="H3" s="12" t="s">
        <v>27</v>
      </c>
      <c r="I3" s="11" t="s">
        <v>28</v>
      </c>
      <c r="J3" s="12" t="s">
        <v>29</v>
      </c>
      <c r="K3" s="322" t="s">
        <v>30</v>
      </c>
      <c r="L3" s="341"/>
    </row>
    <row r="4" s="314" customFormat="1" ht="26.4" customHeight="1" spans="1:12">
      <c r="A4" s="324" t="s">
        <v>31</v>
      </c>
      <c r="B4" s="323">
        <v>1</v>
      </c>
      <c r="C4" s="325" t="s">
        <v>32</v>
      </c>
      <c r="D4" s="15" t="s">
        <v>33</v>
      </c>
      <c r="E4" s="326" t="s">
        <v>31</v>
      </c>
      <c r="F4" s="327">
        <v>3605</v>
      </c>
      <c r="G4" s="327">
        <v>3605</v>
      </c>
      <c r="H4" s="18">
        <f>G4/F4</f>
        <v>1</v>
      </c>
      <c r="I4" s="327">
        <v>3605</v>
      </c>
      <c r="J4" s="18">
        <f t="shared" ref="J4:J8" si="0">I4/F4</f>
        <v>1</v>
      </c>
      <c r="K4" s="322"/>
      <c r="L4" s="341"/>
    </row>
    <row r="5" s="314" customFormat="1" ht="26.4" customHeight="1" spans="1:12">
      <c r="A5" s="328"/>
      <c r="B5" s="323">
        <v>2</v>
      </c>
      <c r="C5" s="329"/>
      <c r="D5" s="15" t="s">
        <v>34</v>
      </c>
      <c r="E5" s="326" t="s">
        <v>31</v>
      </c>
      <c r="F5" s="327">
        <v>3605</v>
      </c>
      <c r="G5" s="327">
        <v>3605</v>
      </c>
      <c r="H5" s="18">
        <f t="shared" ref="H5:H7" si="1">G5/F5</f>
        <v>1</v>
      </c>
      <c r="I5" s="327">
        <v>3605</v>
      </c>
      <c r="J5" s="18">
        <f t="shared" si="0"/>
        <v>1</v>
      </c>
      <c r="K5" s="322"/>
      <c r="L5" s="341"/>
    </row>
    <row r="6" s="314" customFormat="1" ht="26.4" customHeight="1" spans="1:12">
      <c r="A6" s="324" t="s">
        <v>35</v>
      </c>
      <c r="B6" s="323">
        <v>1</v>
      </c>
      <c r="C6" s="329"/>
      <c r="D6" s="15" t="s">
        <v>33</v>
      </c>
      <c r="E6" s="326" t="s">
        <v>35</v>
      </c>
      <c r="F6" s="327">
        <v>702.76</v>
      </c>
      <c r="G6" s="327">
        <f>F6</f>
        <v>702.76</v>
      </c>
      <c r="H6" s="18">
        <f t="shared" si="1"/>
        <v>1</v>
      </c>
      <c r="I6" s="327">
        <v>702.76</v>
      </c>
      <c r="J6" s="18">
        <f t="shared" si="0"/>
        <v>1</v>
      </c>
      <c r="K6" s="322"/>
      <c r="L6" s="341"/>
    </row>
    <row r="7" s="314" customFormat="1" ht="26.4" customHeight="1" spans="1:12">
      <c r="A7" s="328"/>
      <c r="B7" s="323">
        <v>2</v>
      </c>
      <c r="C7" s="330"/>
      <c r="D7" s="15" t="s">
        <v>34</v>
      </c>
      <c r="E7" s="326" t="s">
        <v>35</v>
      </c>
      <c r="F7" s="327">
        <v>918.1</v>
      </c>
      <c r="G7" s="327">
        <f>F7</f>
        <v>918.1</v>
      </c>
      <c r="H7" s="18">
        <f t="shared" si="1"/>
        <v>1</v>
      </c>
      <c r="I7" s="327">
        <v>918.1</v>
      </c>
      <c r="J7" s="18">
        <f t="shared" si="0"/>
        <v>1</v>
      </c>
      <c r="K7" s="322"/>
      <c r="L7" s="341"/>
    </row>
    <row r="8" ht="26.4" customHeight="1" spans="1:11">
      <c r="A8" s="331" t="s">
        <v>36</v>
      </c>
      <c r="B8" s="332">
        <v>1</v>
      </c>
      <c r="C8" s="15" t="s">
        <v>16</v>
      </c>
      <c r="D8" s="15" t="s">
        <v>33</v>
      </c>
      <c r="E8" s="16" t="s">
        <v>37</v>
      </c>
      <c r="F8" s="327">
        <v>50</v>
      </c>
      <c r="G8" s="327">
        <v>50</v>
      </c>
      <c r="H8" s="18">
        <v>1</v>
      </c>
      <c r="I8" s="342">
        <v>50</v>
      </c>
      <c r="J8" s="18">
        <f t="shared" si="0"/>
        <v>1</v>
      </c>
      <c r="K8" s="343" t="s">
        <v>38</v>
      </c>
    </row>
    <row r="9" ht="25.8" customHeight="1" spans="1:14">
      <c r="A9" s="333"/>
      <c r="B9" s="332">
        <v>2</v>
      </c>
      <c r="C9" s="15"/>
      <c r="D9" s="15" t="s">
        <v>33</v>
      </c>
      <c r="E9" s="19" t="s">
        <v>39</v>
      </c>
      <c r="F9" s="327">
        <v>1900</v>
      </c>
      <c r="G9" s="327">
        <f>8278391.06/10000</f>
        <v>827.839106</v>
      </c>
      <c r="H9" s="18">
        <f>G9/(F9)</f>
        <v>0.435704792631579</v>
      </c>
      <c r="I9" s="327">
        <f>13060231.0533333/10000</f>
        <v>1306.02310533333</v>
      </c>
      <c r="J9" s="18">
        <f>I9/(F9)</f>
        <v>0.687380581754384</v>
      </c>
      <c r="K9" s="44" t="s">
        <v>40</v>
      </c>
      <c r="L9" s="320">
        <f>(I9+I11)/(F9+F11)</f>
        <v>0.570136085957447</v>
      </c>
      <c r="M9" s="320">
        <f>F9+F11</f>
        <v>4700</v>
      </c>
      <c r="N9" s="320">
        <f>12450876.06/10000</f>
        <v>1245.087606</v>
      </c>
    </row>
    <row r="10" ht="25.8" customHeight="1" spans="1:11">
      <c r="A10" s="333"/>
      <c r="B10" s="332">
        <v>3</v>
      </c>
      <c r="C10" s="15"/>
      <c r="D10" s="15" t="s">
        <v>33</v>
      </c>
      <c r="E10" s="16" t="s">
        <v>41</v>
      </c>
      <c r="F10" s="327">
        <v>300</v>
      </c>
      <c r="G10" s="327">
        <f>2212537.89/10000</f>
        <v>221.253789</v>
      </c>
      <c r="H10" s="18">
        <f>2212537.89/3000000</f>
        <v>0.73751263</v>
      </c>
      <c r="I10" s="342">
        <v>300</v>
      </c>
      <c r="J10" s="18">
        <f t="shared" ref="J10:J15" si="2">I10/F10</f>
        <v>1</v>
      </c>
      <c r="K10" s="44" t="s">
        <v>40</v>
      </c>
    </row>
    <row r="11" ht="25.8" customHeight="1" spans="1:14">
      <c r="A11" s="333"/>
      <c r="B11" s="332">
        <v>4</v>
      </c>
      <c r="C11" s="15"/>
      <c r="D11" s="15" t="s">
        <v>34</v>
      </c>
      <c r="E11" s="19" t="s">
        <v>42</v>
      </c>
      <c r="F11" s="327">
        <v>2800</v>
      </c>
      <c r="G11" s="327">
        <v>0</v>
      </c>
      <c r="H11" s="18">
        <v>0</v>
      </c>
      <c r="I11" s="342">
        <f>13736164.9866667/10000</f>
        <v>1373.61649866667</v>
      </c>
      <c r="J11" s="18">
        <f t="shared" si="2"/>
        <v>0.490577320952382</v>
      </c>
      <c r="K11" s="44" t="s">
        <v>40</v>
      </c>
      <c r="N11" s="319">
        <f>N9/M9</f>
        <v>0.264912256595745</v>
      </c>
    </row>
    <row r="12" ht="25.8" customHeight="1" spans="1:14">
      <c r="A12" s="333"/>
      <c r="B12" s="332">
        <v>5</v>
      </c>
      <c r="C12" s="15"/>
      <c r="D12" s="15" t="s">
        <v>34</v>
      </c>
      <c r="E12" s="23" t="s">
        <v>43</v>
      </c>
      <c r="F12" s="327">
        <v>200</v>
      </c>
      <c r="G12" s="327">
        <f>473064/10000</f>
        <v>47.3064</v>
      </c>
      <c r="H12" s="18">
        <f>473064/(F12*10000)</f>
        <v>0.236532</v>
      </c>
      <c r="I12" s="342">
        <v>200</v>
      </c>
      <c r="J12" s="18">
        <f t="shared" si="2"/>
        <v>1</v>
      </c>
      <c r="K12" s="343" t="s">
        <v>38</v>
      </c>
      <c r="N12" s="344">
        <f>G9/F11</f>
        <v>0.295656823571429</v>
      </c>
    </row>
    <row r="13" ht="25.8" customHeight="1" spans="1:11">
      <c r="A13" s="333"/>
      <c r="B13" s="332">
        <v>6</v>
      </c>
      <c r="C13" s="15"/>
      <c r="D13" s="15" t="s">
        <v>34</v>
      </c>
      <c r="E13" s="16" t="s">
        <v>44</v>
      </c>
      <c r="F13" s="327">
        <v>200</v>
      </c>
      <c r="G13" s="327">
        <v>200</v>
      </c>
      <c r="H13" s="18">
        <v>1</v>
      </c>
      <c r="I13" s="342">
        <v>200</v>
      </c>
      <c r="J13" s="18">
        <f t="shared" si="2"/>
        <v>1</v>
      </c>
      <c r="K13" s="343" t="s">
        <v>38</v>
      </c>
    </row>
    <row r="14" ht="45" customHeight="1" spans="1:11">
      <c r="A14" s="333"/>
      <c r="B14" s="332">
        <v>7</v>
      </c>
      <c r="C14" s="15"/>
      <c r="D14" s="15" t="s">
        <v>34</v>
      </c>
      <c r="E14" s="24" t="s">
        <v>45</v>
      </c>
      <c r="F14" s="327">
        <v>230</v>
      </c>
      <c r="G14" s="327">
        <v>230</v>
      </c>
      <c r="H14" s="18">
        <v>1</v>
      </c>
      <c r="I14" s="342">
        <v>230</v>
      </c>
      <c r="J14" s="18">
        <f t="shared" si="2"/>
        <v>1</v>
      </c>
      <c r="K14" s="343" t="s">
        <v>38</v>
      </c>
    </row>
    <row r="15" ht="25.8" customHeight="1" spans="1:11">
      <c r="A15" s="333"/>
      <c r="B15" s="332">
        <v>8</v>
      </c>
      <c r="C15" s="15" t="s">
        <v>32</v>
      </c>
      <c r="D15" s="15" t="s">
        <v>33</v>
      </c>
      <c r="E15" s="19" t="s">
        <v>46</v>
      </c>
      <c r="F15" s="327">
        <v>1755</v>
      </c>
      <c r="G15" s="327">
        <v>1260.18714</v>
      </c>
      <c r="H15" s="18">
        <f>G15/(F15)</f>
        <v>0.71805535042735</v>
      </c>
      <c r="I15" s="342">
        <f>17428866/10000</f>
        <v>1742.8866</v>
      </c>
      <c r="J15" s="18">
        <f t="shared" si="2"/>
        <v>0.993097777777778</v>
      </c>
      <c r="K15" s="44" t="s">
        <v>40</v>
      </c>
    </row>
    <row r="16" ht="25.8" customHeight="1" spans="1:13">
      <c r="A16" s="333"/>
      <c r="B16" s="332">
        <v>9</v>
      </c>
      <c r="C16" s="15"/>
      <c r="D16" s="15" t="s">
        <v>34</v>
      </c>
      <c r="E16" s="28" t="s">
        <v>47</v>
      </c>
      <c r="F16" s="327">
        <v>1080</v>
      </c>
      <c r="G16" s="327">
        <v>67.2085</v>
      </c>
      <c r="H16" s="18">
        <f t="shared" ref="H16" si="3">G16/(F16)</f>
        <v>0.0622300925925926</v>
      </c>
      <c r="I16" s="342">
        <f>10800000/10000</f>
        <v>1080</v>
      </c>
      <c r="J16" s="18">
        <f t="shared" ref="J16" si="4">I16/F16</f>
        <v>1</v>
      </c>
      <c r="K16" s="44" t="s">
        <v>40</v>
      </c>
      <c r="L16" s="345" t="e">
        <f>#REF!-#REF!</f>
        <v>#REF!</v>
      </c>
      <c r="M16" s="320" t="e">
        <f>#REF!-#REF!</f>
        <v>#REF!</v>
      </c>
    </row>
    <row r="17" ht="25.8" customHeight="1" spans="1:12">
      <c r="A17" s="333"/>
      <c r="B17" s="332">
        <v>10</v>
      </c>
      <c r="C17" s="15"/>
      <c r="D17" s="15" t="s">
        <v>34</v>
      </c>
      <c r="E17" s="28" t="s">
        <v>48</v>
      </c>
      <c r="F17" s="327">
        <v>720</v>
      </c>
      <c r="G17" s="327">
        <v>0</v>
      </c>
      <c r="H17" s="18">
        <f>G17/F17</f>
        <v>0</v>
      </c>
      <c r="I17" s="342">
        <f>6635699.42/10000</f>
        <v>663.569942</v>
      </c>
      <c r="J17" s="18">
        <f t="shared" ref="J17:J44" si="5">I17/F17</f>
        <v>0.921624919444444</v>
      </c>
      <c r="K17" s="44" t="s">
        <v>40</v>
      </c>
      <c r="L17" s="320">
        <f>F15+F16+F17+F18</f>
        <v>3895</v>
      </c>
    </row>
    <row r="18" ht="25.8" customHeight="1" spans="1:11">
      <c r="A18" s="333"/>
      <c r="B18" s="332">
        <v>11</v>
      </c>
      <c r="C18" s="15"/>
      <c r="D18" s="15" t="s">
        <v>34</v>
      </c>
      <c r="E18" s="19" t="s">
        <v>49</v>
      </c>
      <c r="F18" s="327">
        <v>340</v>
      </c>
      <c r="G18" s="327">
        <v>0</v>
      </c>
      <c r="H18" s="18">
        <f t="shared" ref="H18:H19" si="6">G18/F18</f>
        <v>0</v>
      </c>
      <c r="I18" s="342">
        <v>340</v>
      </c>
      <c r="J18" s="18">
        <f t="shared" si="5"/>
        <v>1</v>
      </c>
      <c r="K18" s="343" t="s">
        <v>38</v>
      </c>
    </row>
    <row r="19" ht="25.8" customHeight="1" spans="1:11">
      <c r="A19" s="333"/>
      <c r="B19" s="332">
        <v>12</v>
      </c>
      <c r="C19" s="24" t="s">
        <v>50</v>
      </c>
      <c r="D19" s="15" t="s">
        <v>33</v>
      </c>
      <c r="E19" s="16" t="s">
        <v>51</v>
      </c>
      <c r="F19" s="327">
        <v>100</v>
      </c>
      <c r="G19" s="327">
        <v>100</v>
      </c>
      <c r="H19" s="18">
        <f t="shared" si="6"/>
        <v>1</v>
      </c>
      <c r="I19" s="327">
        <v>100</v>
      </c>
      <c r="J19" s="18">
        <f t="shared" si="5"/>
        <v>1</v>
      </c>
      <c r="K19" s="343" t="s">
        <v>38</v>
      </c>
    </row>
    <row r="20" ht="35" customHeight="1" spans="1:11">
      <c r="A20" s="333"/>
      <c r="B20" s="332">
        <v>13</v>
      </c>
      <c r="C20" s="24"/>
      <c r="D20" s="15" t="s">
        <v>33</v>
      </c>
      <c r="E20" s="24" t="s">
        <v>52</v>
      </c>
      <c r="F20" s="327">
        <v>50</v>
      </c>
      <c r="G20" s="327">
        <v>50</v>
      </c>
      <c r="H20" s="18">
        <f t="shared" ref="H20:H44" si="7">G20/F20</f>
        <v>1</v>
      </c>
      <c r="I20" s="327">
        <v>50</v>
      </c>
      <c r="J20" s="18">
        <f t="shared" si="5"/>
        <v>1</v>
      </c>
      <c r="K20" s="343" t="s">
        <v>38</v>
      </c>
    </row>
    <row r="21" ht="40" customHeight="1" spans="1:11">
      <c r="A21" s="333"/>
      <c r="B21" s="332">
        <v>14</v>
      </c>
      <c r="C21" s="24"/>
      <c r="D21" s="15" t="s">
        <v>33</v>
      </c>
      <c r="E21" s="24" t="s">
        <v>53</v>
      </c>
      <c r="F21" s="327">
        <v>100</v>
      </c>
      <c r="G21" s="327">
        <v>0</v>
      </c>
      <c r="H21" s="18">
        <f t="shared" si="7"/>
        <v>0</v>
      </c>
      <c r="I21" s="342">
        <f>929977/10000</f>
        <v>92.9977</v>
      </c>
      <c r="J21" s="18">
        <f t="shared" si="5"/>
        <v>0.929977</v>
      </c>
      <c r="K21" s="343" t="s">
        <v>38</v>
      </c>
    </row>
    <row r="22" ht="25.8" customHeight="1" spans="1:11">
      <c r="A22" s="333"/>
      <c r="B22" s="332">
        <v>15</v>
      </c>
      <c r="C22" s="24"/>
      <c r="D22" s="15" t="s">
        <v>33</v>
      </c>
      <c r="E22" s="28" t="s">
        <v>54</v>
      </c>
      <c r="F22" s="327">
        <v>120</v>
      </c>
      <c r="G22" s="327">
        <f>949849.12/10000</f>
        <v>94.984912</v>
      </c>
      <c r="H22" s="18">
        <f t="shared" si="7"/>
        <v>0.791540933333333</v>
      </c>
      <c r="I22" s="342">
        <f>(949849.12+41401)/10000</f>
        <v>99.125012</v>
      </c>
      <c r="J22" s="18">
        <f t="shared" si="5"/>
        <v>0.826041766666667</v>
      </c>
      <c r="K22" s="44" t="s">
        <v>40</v>
      </c>
    </row>
    <row r="23" ht="25.8" customHeight="1" spans="1:11">
      <c r="A23" s="333"/>
      <c r="B23" s="332">
        <v>16</v>
      </c>
      <c r="C23" s="24"/>
      <c r="D23" s="15" t="s">
        <v>33</v>
      </c>
      <c r="E23" s="24" t="s">
        <v>55</v>
      </c>
      <c r="F23" s="327">
        <v>80</v>
      </c>
      <c r="G23" s="327">
        <f>799835.5/10000</f>
        <v>79.98355</v>
      </c>
      <c r="H23" s="18">
        <f t="shared" si="7"/>
        <v>0.999794375</v>
      </c>
      <c r="I23" s="342">
        <v>79.98</v>
      </c>
      <c r="J23" s="18">
        <f t="shared" si="5"/>
        <v>0.99975</v>
      </c>
      <c r="K23" s="44" t="s">
        <v>40</v>
      </c>
    </row>
    <row r="24" ht="25.8" customHeight="1" spans="1:11">
      <c r="A24" s="333"/>
      <c r="B24" s="332">
        <v>17</v>
      </c>
      <c r="C24" s="24"/>
      <c r="D24" s="15" t="s">
        <v>33</v>
      </c>
      <c r="E24" s="24" t="s">
        <v>56</v>
      </c>
      <c r="F24" s="327">
        <v>100</v>
      </c>
      <c r="G24" s="327">
        <f>999040/10000</f>
        <v>99.904</v>
      </c>
      <c r="H24" s="18">
        <f t="shared" si="7"/>
        <v>0.99904</v>
      </c>
      <c r="I24" s="342">
        <v>99.9</v>
      </c>
      <c r="J24" s="18">
        <f t="shared" si="5"/>
        <v>0.999</v>
      </c>
      <c r="K24" s="44" t="s">
        <v>40</v>
      </c>
    </row>
    <row r="25" ht="37" customHeight="1" spans="1:11">
      <c r="A25" s="333"/>
      <c r="B25" s="332">
        <v>18</v>
      </c>
      <c r="C25" s="24"/>
      <c r="D25" s="15" t="s">
        <v>33</v>
      </c>
      <c r="E25" s="24" t="s">
        <v>57</v>
      </c>
      <c r="F25" s="327">
        <v>840</v>
      </c>
      <c r="G25" s="327">
        <v>835.8</v>
      </c>
      <c r="H25" s="18">
        <f t="shared" si="7"/>
        <v>0.995</v>
      </c>
      <c r="I25" s="342">
        <v>835.8</v>
      </c>
      <c r="J25" s="18">
        <f t="shared" si="5"/>
        <v>0.995</v>
      </c>
      <c r="K25" s="44" t="s">
        <v>40</v>
      </c>
    </row>
    <row r="26" ht="36" customHeight="1" spans="1:11">
      <c r="A26" s="333"/>
      <c r="B26" s="332">
        <v>19</v>
      </c>
      <c r="C26" s="24"/>
      <c r="D26" s="15" t="s">
        <v>33</v>
      </c>
      <c r="E26" s="24" t="s">
        <v>58</v>
      </c>
      <c r="F26" s="327">
        <v>250</v>
      </c>
      <c r="G26" s="334">
        <v>249.2</v>
      </c>
      <c r="H26" s="18">
        <f t="shared" si="7"/>
        <v>0.9968</v>
      </c>
      <c r="I26" s="342">
        <v>249.2</v>
      </c>
      <c r="J26" s="18">
        <f t="shared" si="5"/>
        <v>0.9968</v>
      </c>
      <c r="K26" s="44" t="s">
        <v>40</v>
      </c>
    </row>
    <row r="27" ht="25.8" customHeight="1" spans="1:11">
      <c r="A27" s="333"/>
      <c r="B27" s="332">
        <v>20</v>
      </c>
      <c r="C27" s="24"/>
      <c r="D27" s="15" t="s">
        <v>33</v>
      </c>
      <c r="E27" s="236" t="s">
        <v>59</v>
      </c>
      <c r="F27" s="327">
        <v>260</v>
      </c>
      <c r="G27" s="327">
        <v>260</v>
      </c>
      <c r="H27" s="18">
        <f t="shared" si="7"/>
        <v>1</v>
      </c>
      <c r="I27" s="327">
        <v>260</v>
      </c>
      <c r="J27" s="18">
        <f t="shared" si="5"/>
        <v>1</v>
      </c>
      <c r="K27" s="44" t="s">
        <v>40</v>
      </c>
    </row>
    <row r="28" ht="34" customHeight="1" spans="1:12">
      <c r="A28" s="333"/>
      <c r="B28" s="332">
        <v>21</v>
      </c>
      <c r="C28" s="24"/>
      <c r="D28" s="15" t="s">
        <v>34</v>
      </c>
      <c r="E28" s="24" t="s">
        <v>60</v>
      </c>
      <c r="F28" s="327">
        <v>700</v>
      </c>
      <c r="G28" s="327">
        <f>3802521.35/10000</f>
        <v>380.252135</v>
      </c>
      <c r="H28" s="18">
        <f t="shared" si="7"/>
        <v>0.543217335714286</v>
      </c>
      <c r="I28" s="342">
        <v>699.78</v>
      </c>
      <c r="J28" s="18">
        <f t="shared" si="5"/>
        <v>0.999685714285714</v>
      </c>
      <c r="K28" s="44" t="s">
        <v>40</v>
      </c>
      <c r="L28" s="346" t="s">
        <v>61</v>
      </c>
    </row>
    <row r="29" ht="36" customHeight="1" spans="1:11">
      <c r="A29" s="333"/>
      <c r="B29" s="332">
        <v>22</v>
      </c>
      <c r="C29" s="24"/>
      <c r="D29" s="15" t="s">
        <v>34</v>
      </c>
      <c r="E29" s="24" t="s">
        <v>62</v>
      </c>
      <c r="F29" s="327">
        <v>1100</v>
      </c>
      <c r="G29" s="327">
        <f>10140290/10000</f>
        <v>1014.029</v>
      </c>
      <c r="H29" s="18">
        <f t="shared" si="7"/>
        <v>0.921844545454545</v>
      </c>
      <c r="I29" s="327">
        <v>1100</v>
      </c>
      <c r="J29" s="18">
        <f t="shared" si="5"/>
        <v>1</v>
      </c>
      <c r="K29" s="44" t="s">
        <v>40</v>
      </c>
    </row>
    <row r="30" ht="41" customHeight="1" spans="1:11">
      <c r="A30" s="333"/>
      <c r="B30" s="332">
        <v>23</v>
      </c>
      <c r="C30" s="24"/>
      <c r="D30" s="15" t="s">
        <v>34</v>
      </c>
      <c r="E30" s="24" t="s">
        <v>63</v>
      </c>
      <c r="F30" s="327">
        <v>1000</v>
      </c>
      <c r="G30" s="327">
        <f>5507107.46/10000</f>
        <v>550.710746</v>
      </c>
      <c r="H30" s="18">
        <f t="shared" si="7"/>
        <v>0.550710746</v>
      </c>
      <c r="I30" s="342">
        <f>(4492892.54/10000+5507107.46/10000)</f>
        <v>1000</v>
      </c>
      <c r="J30" s="18">
        <f t="shared" si="5"/>
        <v>1</v>
      </c>
      <c r="K30" s="44" t="s">
        <v>40</v>
      </c>
    </row>
    <row r="31" ht="25.8" customHeight="1" spans="1:12">
      <c r="A31" s="333"/>
      <c r="B31" s="332">
        <v>24</v>
      </c>
      <c r="C31" s="24"/>
      <c r="D31" s="15" t="s">
        <v>34</v>
      </c>
      <c r="E31" s="24" t="s">
        <v>64</v>
      </c>
      <c r="F31" s="327">
        <v>200</v>
      </c>
      <c r="G31" s="327">
        <v>199.9</v>
      </c>
      <c r="H31" s="18">
        <f t="shared" si="7"/>
        <v>0.9995</v>
      </c>
      <c r="I31" s="342">
        <v>199.9</v>
      </c>
      <c r="J31" s="18">
        <f t="shared" si="5"/>
        <v>0.9995</v>
      </c>
      <c r="K31" s="343" t="s">
        <v>38</v>
      </c>
      <c r="L31" s="347" t="s">
        <v>65</v>
      </c>
    </row>
    <row r="32" ht="25.8" customHeight="1" spans="1:11">
      <c r="A32" s="333"/>
      <c r="B32" s="332">
        <v>25</v>
      </c>
      <c r="C32" s="24"/>
      <c r="D32" s="15" t="s">
        <v>34</v>
      </c>
      <c r="E32" s="24" t="s">
        <v>66</v>
      </c>
      <c r="F32" s="327">
        <v>550</v>
      </c>
      <c r="G32" s="327">
        <v>549.5</v>
      </c>
      <c r="H32" s="18">
        <f t="shared" si="7"/>
        <v>0.999090909090909</v>
      </c>
      <c r="I32" s="342">
        <v>549.5</v>
      </c>
      <c r="J32" s="18">
        <f t="shared" si="5"/>
        <v>0.999090909090909</v>
      </c>
      <c r="K32" s="343" t="s">
        <v>38</v>
      </c>
    </row>
    <row r="33" ht="25.8" customHeight="1" spans="1:11">
      <c r="A33" s="333"/>
      <c r="B33" s="332">
        <v>26</v>
      </c>
      <c r="C33" s="24"/>
      <c r="D33" s="15" t="s">
        <v>34</v>
      </c>
      <c r="E33" s="24" t="s">
        <v>67</v>
      </c>
      <c r="F33" s="327">
        <v>180</v>
      </c>
      <c r="G33" s="327">
        <v>179.9</v>
      </c>
      <c r="H33" s="18">
        <f t="shared" si="7"/>
        <v>0.999444444444444</v>
      </c>
      <c r="I33" s="342">
        <v>179.9</v>
      </c>
      <c r="J33" s="18">
        <f t="shared" si="5"/>
        <v>0.999444444444444</v>
      </c>
      <c r="K33" s="343" t="s">
        <v>38</v>
      </c>
    </row>
    <row r="34" ht="25.8" customHeight="1" spans="1:11">
      <c r="A34" s="333"/>
      <c r="B34" s="332">
        <v>27</v>
      </c>
      <c r="C34" s="24"/>
      <c r="D34" s="15" t="s">
        <v>34</v>
      </c>
      <c r="E34" s="24" t="s">
        <v>68</v>
      </c>
      <c r="F34" s="327">
        <v>8</v>
      </c>
      <c r="G34" s="327">
        <v>8</v>
      </c>
      <c r="H34" s="18">
        <f t="shared" si="7"/>
        <v>1</v>
      </c>
      <c r="I34" s="327">
        <v>8</v>
      </c>
      <c r="J34" s="18">
        <f t="shared" si="5"/>
        <v>1</v>
      </c>
      <c r="K34" s="343" t="s">
        <v>38</v>
      </c>
    </row>
    <row r="35" ht="34" customHeight="1" spans="1:11">
      <c r="A35" s="333"/>
      <c r="B35" s="332">
        <v>28</v>
      </c>
      <c r="C35" s="24"/>
      <c r="D35" s="15" t="s">
        <v>34</v>
      </c>
      <c r="E35" s="24" t="s">
        <v>69</v>
      </c>
      <c r="F35" s="327">
        <v>10</v>
      </c>
      <c r="G35" s="327">
        <v>10</v>
      </c>
      <c r="H35" s="18">
        <f t="shared" si="7"/>
        <v>1</v>
      </c>
      <c r="I35" s="327">
        <v>10</v>
      </c>
      <c r="J35" s="18">
        <f t="shared" si="5"/>
        <v>1</v>
      </c>
      <c r="K35" s="343" t="s">
        <v>38</v>
      </c>
    </row>
    <row r="36" ht="25.8" customHeight="1" spans="1:11">
      <c r="A36" s="333"/>
      <c r="B36" s="332">
        <v>29</v>
      </c>
      <c r="C36" s="24"/>
      <c r="D36" s="15" t="s">
        <v>34</v>
      </c>
      <c r="E36" s="24" t="s">
        <v>70</v>
      </c>
      <c r="F36" s="327">
        <v>12</v>
      </c>
      <c r="G36" s="327">
        <v>12</v>
      </c>
      <c r="H36" s="18">
        <f t="shared" si="7"/>
        <v>1</v>
      </c>
      <c r="I36" s="327">
        <v>12</v>
      </c>
      <c r="J36" s="18">
        <f t="shared" si="5"/>
        <v>1</v>
      </c>
      <c r="K36" s="343" t="s">
        <v>38</v>
      </c>
    </row>
    <row r="37" ht="25.8" customHeight="1" spans="1:11">
      <c r="A37" s="333"/>
      <c r="B37" s="332">
        <v>30</v>
      </c>
      <c r="C37" s="24"/>
      <c r="D37" s="15" t="s">
        <v>34</v>
      </c>
      <c r="E37" s="24" t="s">
        <v>71</v>
      </c>
      <c r="F37" s="327">
        <v>140</v>
      </c>
      <c r="G37" s="327">
        <v>140</v>
      </c>
      <c r="H37" s="18">
        <f t="shared" si="7"/>
        <v>1</v>
      </c>
      <c r="I37" s="327">
        <v>140</v>
      </c>
      <c r="J37" s="18">
        <f t="shared" si="5"/>
        <v>1</v>
      </c>
      <c r="K37" s="343" t="s">
        <v>38</v>
      </c>
    </row>
    <row r="38" ht="25.8" customHeight="1" spans="1:11">
      <c r="A38" s="333"/>
      <c r="B38" s="332">
        <v>31</v>
      </c>
      <c r="C38" s="24"/>
      <c r="D38" s="15" t="s">
        <v>34</v>
      </c>
      <c r="E38" s="24" t="s">
        <v>72</v>
      </c>
      <c r="F38" s="327">
        <v>30</v>
      </c>
      <c r="G38" s="327">
        <v>29.8</v>
      </c>
      <c r="H38" s="18">
        <f t="shared" si="7"/>
        <v>0.993333333333333</v>
      </c>
      <c r="I38" s="342">
        <v>29.8</v>
      </c>
      <c r="J38" s="18">
        <f t="shared" si="5"/>
        <v>0.993333333333333</v>
      </c>
      <c r="K38" s="343" t="s">
        <v>38</v>
      </c>
    </row>
    <row r="39" ht="25.8" customHeight="1" spans="1:11">
      <c r="A39" s="333"/>
      <c r="B39" s="332">
        <v>32</v>
      </c>
      <c r="C39" s="24"/>
      <c r="D39" s="15" t="s">
        <v>34</v>
      </c>
      <c r="E39" s="24" t="s">
        <v>73</v>
      </c>
      <c r="F39" s="327">
        <v>100</v>
      </c>
      <c r="G39" s="327">
        <f>989950/10000</f>
        <v>98.995</v>
      </c>
      <c r="H39" s="18">
        <f t="shared" si="7"/>
        <v>0.98995</v>
      </c>
      <c r="I39" s="342">
        <v>99</v>
      </c>
      <c r="J39" s="18">
        <f t="shared" si="5"/>
        <v>0.99</v>
      </c>
      <c r="K39" s="343" t="s">
        <v>38</v>
      </c>
    </row>
    <row r="40" ht="38" customHeight="1" spans="1:11">
      <c r="A40" s="333"/>
      <c r="B40" s="332">
        <v>33</v>
      </c>
      <c r="C40" s="335" t="s">
        <v>74</v>
      </c>
      <c r="D40" s="15" t="s">
        <v>33</v>
      </c>
      <c r="E40" s="24" t="s">
        <v>75</v>
      </c>
      <c r="F40" s="327">
        <v>1700</v>
      </c>
      <c r="G40" s="327">
        <v>1700</v>
      </c>
      <c r="H40" s="18">
        <f t="shared" si="7"/>
        <v>1</v>
      </c>
      <c r="I40" s="327">
        <v>1700</v>
      </c>
      <c r="J40" s="18">
        <f t="shared" si="5"/>
        <v>1</v>
      </c>
      <c r="K40" s="44" t="s">
        <v>40</v>
      </c>
    </row>
    <row r="41" ht="25.8" customHeight="1" spans="1:11">
      <c r="A41" s="333"/>
      <c r="B41" s="332">
        <v>34</v>
      </c>
      <c r="C41" s="336"/>
      <c r="D41" s="15" t="s">
        <v>34</v>
      </c>
      <c r="E41" s="24" t="s">
        <v>76</v>
      </c>
      <c r="F41" s="327">
        <v>145</v>
      </c>
      <c r="G41" s="327">
        <f>1443168/10000</f>
        <v>144.3168</v>
      </c>
      <c r="H41" s="18">
        <f t="shared" si="7"/>
        <v>0.995288275862069</v>
      </c>
      <c r="I41" s="342">
        <v>144.3168</v>
      </c>
      <c r="J41" s="18">
        <f t="shared" si="5"/>
        <v>0.995288275862069</v>
      </c>
      <c r="K41" s="343" t="s">
        <v>38</v>
      </c>
    </row>
    <row r="42" ht="25.8" customHeight="1" spans="1:11">
      <c r="A42" s="333"/>
      <c r="B42" s="332">
        <v>35</v>
      </c>
      <c r="C42" s="336"/>
      <c r="D42" s="15" t="s">
        <v>34</v>
      </c>
      <c r="E42" s="24" t="s">
        <v>77</v>
      </c>
      <c r="F42" s="327">
        <v>1800</v>
      </c>
      <c r="G42" s="327">
        <v>1800</v>
      </c>
      <c r="H42" s="18">
        <f t="shared" si="7"/>
        <v>1</v>
      </c>
      <c r="I42" s="327">
        <v>1800</v>
      </c>
      <c r="J42" s="18">
        <f t="shared" si="5"/>
        <v>1</v>
      </c>
      <c r="K42" s="44" t="s">
        <v>40</v>
      </c>
    </row>
    <row r="43" ht="25.8" customHeight="1" spans="1:11">
      <c r="A43" s="337"/>
      <c r="B43" s="332">
        <v>36</v>
      </c>
      <c r="C43" s="338"/>
      <c r="D43" s="15" t="s">
        <v>34</v>
      </c>
      <c r="E43" s="19" t="s">
        <v>78</v>
      </c>
      <c r="F43" s="327">
        <v>650</v>
      </c>
      <c r="G43" s="327">
        <f>F43</f>
        <v>650</v>
      </c>
      <c r="H43" s="18">
        <f t="shared" si="7"/>
        <v>1</v>
      </c>
      <c r="I43" s="327">
        <f>F43</f>
        <v>650</v>
      </c>
      <c r="J43" s="18">
        <f t="shared" si="5"/>
        <v>1</v>
      </c>
      <c r="K43" s="343" t="s">
        <v>38</v>
      </c>
    </row>
    <row r="44" spans="6:10">
      <c r="F44" s="318">
        <f>SUBTOTAL(9,F4:F43)</f>
        <v>28630.86</v>
      </c>
      <c r="G44" s="318">
        <f>SUBTOTAL(9,G4:G43)</f>
        <v>20971.931078</v>
      </c>
      <c r="H44" s="319">
        <f t="shared" si="7"/>
        <v>0.732493927112214</v>
      </c>
      <c r="I44" s="318">
        <f>SUBTOTAL(9,I4:I43)</f>
        <v>26506.155658</v>
      </c>
      <c r="J44" s="319">
        <f t="shared" si="5"/>
        <v>0.925789712848304</v>
      </c>
    </row>
    <row r="45" spans="9:9">
      <c r="I45" s="318"/>
    </row>
    <row r="47" spans="7:9">
      <c r="G47" s="339"/>
      <c r="I47" s="319"/>
    </row>
  </sheetData>
  <mergeCells count="9">
    <mergeCell ref="A2:K2"/>
    <mergeCell ref="A4:A5"/>
    <mergeCell ref="A6:A7"/>
    <mergeCell ref="A8:A43"/>
    <mergeCell ref="C4:C7"/>
    <mergeCell ref="C8:C14"/>
    <mergeCell ref="C15:C18"/>
    <mergeCell ref="C19:C39"/>
    <mergeCell ref="C40:C43"/>
  </mergeCells>
  <pageMargins left="0.7" right="0.7" top="0.75" bottom="0.75" header="0.3" footer="0.3"/>
  <pageSetup paperSize="9" scale="51" fitToHeight="0" orientation="portrait"/>
  <headerFooter/>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
  <sheetViews>
    <sheetView view="pageBreakPreview" zoomScale="80" zoomScaleNormal="100" workbookViewId="0">
      <pane xSplit="5" ySplit="3" topLeftCell="F19" activePane="bottomRight" state="frozenSplit"/>
      <selection/>
      <selection pane="topRight"/>
      <selection pane="bottomLeft"/>
      <selection pane="bottomRight" activeCell="C24" sqref="$A24:$XFD24"/>
    </sheetView>
  </sheetViews>
  <sheetFormatPr defaultColWidth="9" defaultRowHeight="13.5"/>
  <cols>
    <col min="1" max="1" width="8.7" style="185" customWidth="1"/>
    <col min="2" max="2" width="16.8" style="283" customWidth="1"/>
    <col min="3" max="3" width="15.625" style="283" customWidth="1"/>
    <col min="4" max="4" width="28.9" style="283" customWidth="1"/>
    <col min="5" max="5" width="5.875" style="284" customWidth="1"/>
    <col min="6" max="6" width="55.625" style="285" customWidth="1"/>
    <col min="7" max="7" width="23.4333333333333" style="283" customWidth="1"/>
    <col min="8" max="8" width="63.125" style="185" customWidth="1"/>
    <col min="9" max="9" width="12.8" style="286" customWidth="1"/>
    <col min="10" max="10" width="8.4" style="185" customWidth="1"/>
    <col min="11" max="11" width="28.8" style="185" customWidth="1"/>
    <col min="12" max="16384" width="9" style="185"/>
  </cols>
  <sheetData>
    <row r="1" ht="21" customHeight="1" spans="1:1">
      <c r="A1" s="287" t="s">
        <v>79</v>
      </c>
    </row>
    <row r="2" ht="25" customHeight="1" spans="1:8">
      <c r="A2" s="288" t="s">
        <v>80</v>
      </c>
      <c r="B2" s="288"/>
      <c r="C2" s="288"/>
      <c r="D2" s="288"/>
      <c r="E2" s="288"/>
      <c r="F2" s="288"/>
      <c r="G2" s="288"/>
      <c r="H2" s="288"/>
    </row>
    <row r="3" ht="28" customHeight="1" spans="1:10">
      <c r="A3" s="289" t="s">
        <v>81</v>
      </c>
      <c r="B3" s="289" t="s">
        <v>82</v>
      </c>
      <c r="C3" s="289" t="s">
        <v>83</v>
      </c>
      <c r="D3" s="289" t="s">
        <v>84</v>
      </c>
      <c r="E3" s="290" t="s">
        <v>85</v>
      </c>
      <c r="F3" s="289" t="s">
        <v>86</v>
      </c>
      <c r="G3" s="289" t="s">
        <v>87</v>
      </c>
      <c r="H3" s="289" t="s">
        <v>88</v>
      </c>
      <c r="I3" s="305" t="s">
        <v>13</v>
      </c>
      <c r="J3" s="306" t="s">
        <v>89</v>
      </c>
    </row>
    <row r="4" ht="181" customHeight="1" spans="1:10">
      <c r="A4" s="291" t="s">
        <v>90</v>
      </c>
      <c r="B4" s="291" t="s">
        <v>91</v>
      </c>
      <c r="C4" s="291" t="s">
        <v>92</v>
      </c>
      <c r="D4" s="291" t="str">
        <f>C4</f>
        <v>立项依据
充分性</v>
      </c>
      <c r="E4" s="292">
        <v>2</v>
      </c>
      <c r="F4" s="293" t="s">
        <v>93</v>
      </c>
      <c r="G4" s="291" t="s">
        <v>94</v>
      </c>
      <c r="H4" s="294" t="s">
        <v>95</v>
      </c>
      <c r="I4" s="307">
        <f>E4</f>
        <v>2</v>
      </c>
      <c r="J4" s="308">
        <f t="shared" ref="J4:J9" si="0">I4/E4</f>
        <v>1</v>
      </c>
    </row>
    <row r="5" ht="84" customHeight="1" spans="1:10">
      <c r="A5" s="291"/>
      <c r="B5" s="291"/>
      <c r="C5" s="291" t="s">
        <v>96</v>
      </c>
      <c r="D5" s="291" t="str">
        <f t="shared" ref="D5:D16" si="1">C5</f>
        <v>立项程序
规范性</v>
      </c>
      <c r="E5" s="292">
        <v>3</v>
      </c>
      <c r="F5" s="293" t="s">
        <v>97</v>
      </c>
      <c r="G5" s="291" t="s">
        <v>98</v>
      </c>
      <c r="H5" s="294" t="s">
        <v>99</v>
      </c>
      <c r="I5" s="307">
        <f>E5</f>
        <v>3</v>
      </c>
      <c r="J5" s="308">
        <f t="shared" si="0"/>
        <v>1</v>
      </c>
    </row>
    <row r="6" ht="81.75" customHeight="1" spans="1:11">
      <c r="A6" s="291"/>
      <c r="B6" s="291" t="s">
        <v>100</v>
      </c>
      <c r="C6" s="291" t="s">
        <v>101</v>
      </c>
      <c r="D6" s="291" t="str">
        <f t="shared" si="1"/>
        <v>绩效目标
合理性</v>
      </c>
      <c r="E6" s="292">
        <v>3</v>
      </c>
      <c r="F6" s="293" t="s">
        <v>102</v>
      </c>
      <c r="G6" s="291" t="s">
        <v>103</v>
      </c>
      <c r="H6" s="294" t="s">
        <v>104</v>
      </c>
      <c r="I6" s="307">
        <v>2</v>
      </c>
      <c r="J6" s="308">
        <f t="shared" si="0"/>
        <v>0.666666666666667</v>
      </c>
      <c r="K6" s="309" t="s">
        <v>105</v>
      </c>
    </row>
    <row r="7" ht="75" customHeight="1" spans="1:10">
      <c r="A7" s="291"/>
      <c r="B7" s="291"/>
      <c r="C7" s="291" t="s">
        <v>106</v>
      </c>
      <c r="D7" s="291" t="str">
        <f t="shared" si="1"/>
        <v>绩效指标
明确性</v>
      </c>
      <c r="E7" s="292">
        <v>3</v>
      </c>
      <c r="F7" s="293" t="s">
        <v>107</v>
      </c>
      <c r="G7" s="291" t="s">
        <v>108</v>
      </c>
      <c r="H7" s="294" t="s">
        <v>109</v>
      </c>
      <c r="I7" s="307">
        <f>E7</f>
        <v>3</v>
      </c>
      <c r="J7" s="308">
        <f t="shared" si="0"/>
        <v>1</v>
      </c>
    </row>
    <row r="8" ht="42" customHeight="1" spans="1:10">
      <c r="A8" s="291"/>
      <c r="B8" s="291" t="s">
        <v>110</v>
      </c>
      <c r="C8" s="291" t="s">
        <v>111</v>
      </c>
      <c r="D8" s="291" t="str">
        <f t="shared" si="1"/>
        <v>财政资金扶持占比</v>
      </c>
      <c r="E8" s="292">
        <v>2</v>
      </c>
      <c r="F8" s="293" t="s">
        <v>112</v>
      </c>
      <c r="G8" s="291" t="s">
        <v>113</v>
      </c>
      <c r="H8" s="294" t="s">
        <v>114</v>
      </c>
      <c r="I8" s="307">
        <f>E8</f>
        <v>2</v>
      </c>
      <c r="J8" s="308">
        <f t="shared" si="0"/>
        <v>1</v>
      </c>
    </row>
    <row r="9" ht="51" customHeight="1" spans="1:11">
      <c r="A9" s="291"/>
      <c r="B9" s="291"/>
      <c r="C9" s="291" t="s">
        <v>115</v>
      </c>
      <c r="D9" s="291" t="str">
        <f t="shared" si="1"/>
        <v>资金分配
合理性</v>
      </c>
      <c r="E9" s="292">
        <v>3</v>
      </c>
      <c r="F9" s="293" t="s">
        <v>116</v>
      </c>
      <c r="G9" s="291" t="s">
        <v>103</v>
      </c>
      <c r="H9" s="294" t="s">
        <v>117</v>
      </c>
      <c r="I9" s="307">
        <v>3</v>
      </c>
      <c r="J9" s="308">
        <f t="shared" si="0"/>
        <v>1</v>
      </c>
      <c r="K9" s="185" t="s">
        <v>118</v>
      </c>
    </row>
    <row r="10" ht="38" customHeight="1" spans="1:10">
      <c r="A10" s="291" t="s">
        <v>119</v>
      </c>
      <c r="B10" s="291" t="s">
        <v>120</v>
      </c>
      <c r="C10" s="291" t="s">
        <v>121</v>
      </c>
      <c r="D10" s="291" t="str">
        <f t="shared" si="1"/>
        <v>配套资金到位率</v>
      </c>
      <c r="E10" s="292">
        <v>2</v>
      </c>
      <c r="F10" s="293" t="s">
        <v>122</v>
      </c>
      <c r="G10" s="295">
        <v>1</v>
      </c>
      <c r="H10" s="294" t="s">
        <v>123</v>
      </c>
      <c r="I10" s="307">
        <f>E10</f>
        <v>2</v>
      </c>
      <c r="J10" s="308">
        <f t="shared" ref="J10:J11" si="2">I10/E10</f>
        <v>1</v>
      </c>
    </row>
    <row r="11" ht="46" customHeight="1" spans="1:11">
      <c r="A11" s="291"/>
      <c r="B11" s="291"/>
      <c r="C11" s="291" t="s">
        <v>124</v>
      </c>
      <c r="D11" s="291" t="str">
        <f t="shared" si="1"/>
        <v>预算执行率</v>
      </c>
      <c r="E11" s="292">
        <v>3</v>
      </c>
      <c r="F11" s="293" t="s">
        <v>125</v>
      </c>
      <c r="G11" s="295">
        <v>1</v>
      </c>
      <c r="H11" s="293" t="s">
        <v>126</v>
      </c>
      <c r="I11" s="307">
        <v>2</v>
      </c>
      <c r="J11" s="308">
        <f t="shared" si="2"/>
        <v>0.666666666666667</v>
      </c>
      <c r="K11" s="185" t="s">
        <v>127</v>
      </c>
    </row>
    <row r="12" ht="34.8" customHeight="1" spans="1:10">
      <c r="A12" s="291"/>
      <c r="B12" s="291"/>
      <c r="C12" s="291" t="s">
        <v>128</v>
      </c>
      <c r="D12" s="291" t="s">
        <v>129</v>
      </c>
      <c r="E12" s="292">
        <v>2</v>
      </c>
      <c r="F12" s="293" t="s">
        <v>130</v>
      </c>
      <c r="G12" s="295" t="s">
        <v>131</v>
      </c>
      <c r="H12" s="293" t="s">
        <v>132</v>
      </c>
      <c r="I12" s="307">
        <f>E12</f>
        <v>2</v>
      </c>
      <c r="J12" s="308">
        <f t="shared" ref="J12:J19" si="3">I12/E12</f>
        <v>1</v>
      </c>
    </row>
    <row r="13" ht="44" customHeight="1" spans="1:11">
      <c r="A13" s="291"/>
      <c r="B13" s="291"/>
      <c r="C13" s="291"/>
      <c r="D13" s="291" t="s">
        <v>133</v>
      </c>
      <c r="E13" s="292">
        <v>1</v>
      </c>
      <c r="F13" s="293" t="s">
        <v>134</v>
      </c>
      <c r="G13" s="296" t="s">
        <v>135</v>
      </c>
      <c r="H13" s="293" t="s">
        <v>136</v>
      </c>
      <c r="I13" s="307">
        <v>0</v>
      </c>
      <c r="J13" s="308">
        <f t="shared" si="3"/>
        <v>0</v>
      </c>
      <c r="K13" s="185" t="s">
        <v>137</v>
      </c>
    </row>
    <row r="14" ht="38" customHeight="1" spans="1:11">
      <c r="A14" s="291"/>
      <c r="B14" s="291"/>
      <c r="C14" s="291"/>
      <c r="D14" s="291" t="s">
        <v>138</v>
      </c>
      <c r="E14" s="292">
        <v>3</v>
      </c>
      <c r="F14" s="293" t="s">
        <v>139</v>
      </c>
      <c r="G14" s="295" t="s">
        <v>140</v>
      </c>
      <c r="H14" s="293" t="s">
        <v>141</v>
      </c>
      <c r="I14" s="307">
        <v>2</v>
      </c>
      <c r="J14" s="308">
        <f t="shared" si="3"/>
        <v>0.666666666666667</v>
      </c>
      <c r="K14" s="185" t="s">
        <v>142</v>
      </c>
    </row>
    <row r="15" ht="34" customHeight="1" spans="1:11">
      <c r="A15" s="291"/>
      <c r="B15" s="291"/>
      <c r="C15" s="291"/>
      <c r="D15" s="291" t="s">
        <v>143</v>
      </c>
      <c r="E15" s="292">
        <v>4</v>
      </c>
      <c r="F15" s="293" t="s">
        <v>144</v>
      </c>
      <c r="G15" s="295" t="s">
        <v>145</v>
      </c>
      <c r="H15" s="293" t="s">
        <v>146</v>
      </c>
      <c r="I15" s="307">
        <v>2</v>
      </c>
      <c r="J15" s="308">
        <f t="shared" si="3"/>
        <v>0.5</v>
      </c>
      <c r="K15" s="310" t="s">
        <v>147</v>
      </c>
    </row>
    <row r="16" ht="81" spans="1:10">
      <c r="A16" s="291"/>
      <c r="B16" s="291" t="s">
        <v>148</v>
      </c>
      <c r="C16" s="291" t="s">
        <v>149</v>
      </c>
      <c r="D16" s="291" t="str">
        <f t="shared" si="1"/>
        <v>管理制度
健全性</v>
      </c>
      <c r="E16" s="292">
        <v>2</v>
      </c>
      <c r="F16" s="293" t="s">
        <v>150</v>
      </c>
      <c r="G16" s="291" t="s">
        <v>151</v>
      </c>
      <c r="H16" s="297" t="s">
        <v>152</v>
      </c>
      <c r="I16" s="307">
        <v>2</v>
      </c>
      <c r="J16" s="308">
        <f t="shared" si="3"/>
        <v>1</v>
      </c>
    </row>
    <row r="17" ht="36" customHeight="1" spans="1:11">
      <c r="A17" s="291"/>
      <c r="B17" s="291"/>
      <c r="C17" s="291" t="s">
        <v>153</v>
      </c>
      <c r="D17" s="291" t="s">
        <v>154</v>
      </c>
      <c r="E17" s="292">
        <v>3</v>
      </c>
      <c r="F17" s="293" t="s">
        <v>155</v>
      </c>
      <c r="G17" s="291" t="s">
        <v>156</v>
      </c>
      <c r="H17" s="294" t="s">
        <v>157</v>
      </c>
      <c r="I17" s="307">
        <v>2</v>
      </c>
      <c r="J17" s="308">
        <f t="shared" si="3"/>
        <v>0.666666666666667</v>
      </c>
      <c r="K17" s="185" t="s">
        <v>158</v>
      </c>
    </row>
    <row r="18" ht="34" customHeight="1" spans="1:10">
      <c r="A18" s="291"/>
      <c r="B18" s="291"/>
      <c r="C18" s="291"/>
      <c r="D18" s="291" t="s">
        <v>159</v>
      </c>
      <c r="E18" s="292">
        <v>2</v>
      </c>
      <c r="F18" s="293" t="s">
        <v>160</v>
      </c>
      <c r="G18" s="291" t="s">
        <v>161</v>
      </c>
      <c r="H18" s="294" t="s">
        <v>162</v>
      </c>
      <c r="I18" s="307">
        <v>2</v>
      </c>
      <c r="J18" s="308">
        <f t="shared" si="3"/>
        <v>1</v>
      </c>
    </row>
    <row r="19" ht="25" customHeight="1" spans="1:10">
      <c r="A19" s="291"/>
      <c r="B19" s="291"/>
      <c r="C19" s="291"/>
      <c r="D19" s="291" t="s">
        <v>163</v>
      </c>
      <c r="E19" s="292">
        <v>2</v>
      </c>
      <c r="F19" s="293" t="s">
        <v>164</v>
      </c>
      <c r="G19" s="291" t="s">
        <v>165</v>
      </c>
      <c r="H19" s="294" t="s">
        <v>166</v>
      </c>
      <c r="I19" s="307">
        <v>2</v>
      </c>
      <c r="J19" s="308">
        <f t="shared" si="3"/>
        <v>1</v>
      </c>
    </row>
    <row r="20" ht="45" customHeight="1" spans="1:10">
      <c r="A20" s="291" t="s">
        <v>167</v>
      </c>
      <c r="B20" s="291" t="s">
        <v>8</v>
      </c>
      <c r="C20" s="291" t="s">
        <v>8</v>
      </c>
      <c r="D20" s="291" t="s">
        <v>8</v>
      </c>
      <c r="E20" s="292">
        <v>50</v>
      </c>
      <c r="F20" s="293" t="s">
        <v>168</v>
      </c>
      <c r="G20" s="293"/>
      <c r="H20" s="293"/>
      <c r="I20" s="311">
        <f>'3-3报业产出及绩效计算'!H10</f>
        <v>43.3274647887324</v>
      </c>
      <c r="J20" s="308"/>
    </row>
    <row r="21" ht="45" customHeight="1" spans="1:10">
      <c r="A21" s="291"/>
      <c r="B21" s="291" t="s">
        <v>9</v>
      </c>
      <c r="C21" s="291" t="s">
        <v>9</v>
      </c>
      <c r="D21" s="291" t="s">
        <v>9</v>
      </c>
      <c r="E21" s="292"/>
      <c r="F21" s="293" t="s">
        <v>168</v>
      </c>
      <c r="G21" s="293"/>
      <c r="H21" s="293"/>
      <c r="I21" s="311"/>
      <c r="J21" s="308"/>
    </row>
    <row r="22" ht="41" customHeight="1" spans="1:10">
      <c r="A22" s="291"/>
      <c r="B22" s="291" t="s">
        <v>169</v>
      </c>
      <c r="C22" s="291" t="s">
        <v>170</v>
      </c>
      <c r="D22" s="298" t="s">
        <v>171</v>
      </c>
      <c r="E22" s="299">
        <v>2</v>
      </c>
      <c r="F22" s="300" t="s">
        <v>172</v>
      </c>
      <c r="G22" s="295" t="s">
        <v>173</v>
      </c>
      <c r="H22" s="293" t="s">
        <v>174</v>
      </c>
      <c r="I22" s="307">
        <v>2</v>
      </c>
      <c r="J22" s="308"/>
    </row>
    <row r="23" ht="41" customHeight="1" spans="1:10">
      <c r="A23" s="291"/>
      <c r="B23" s="291"/>
      <c r="C23" s="301" t="s">
        <v>175</v>
      </c>
      <c r="D23" s="298" t="s">
        <v>176</v>
      </c>
      <c r="E23" s="299">
        <v>4</v>
      </c>
      <c r="F23" s="300" t="s">
        <v>177</v>
      </c>
      <c r="G23" s="295">
        <v>1</v>
      </c>
      <c r="H23" s="293" t="s">
        <v>178</v>
      </c>
      <c r="I23" s="307">
        <v>4</v>
      </c>
      <c r="J23" s="308"/>
    </row>
    <row r="24" ht="71" customHeight="1" spans="1:10">
      <c r="A24" s="291"/>
      <c r="B24" s="291"/>
      <c r="C24" s="301" t="s">
        <v>175</v>
      </c>
      <c r="D24" s="291" t="s">
        <v>179</v>
      </c>
      <c r="E24" s="299">
        <v>4</v>
      </c>
      <c r="F24" s="300" t="s">
        <v>180</v>
      </c>
      <c r="G24" s="295" t="s">
        <v>181</v>
      </c>
      <c r="H24" s="293" t="s">
        <v>182</v>
      </c>
      <c r="I24" s="307">
        <v>4</v>
      </c>
      <c r="J24" s="308"/>
    </row>
    <row r="25" ht="25.5" customHeight="1" spans="1:10">
      <c r="A25" s="302" t="s">
        <v>20</v>
      </c>
      <c r="B25" s="302"/>
      <c r="C25" s="302"/>
      <c r="D25" s="302"/>
      <c r="E25" s="303">
        <f>SUM(E4:E24)</f>
        <v>100</v>
      </c>
      <c r="F25" s="304"/>
      <c r="G25" s="302"/>
      <c r="H25" s="302"/>
      <c r="I25" s="312">
        <f>SUM(I4:I24)</f>
        <v>86.3274647887324</v>
      </c>
      <c r="J25" s="313"/>
    </row>
  </sheetData>
  <mergeCells count="17">
    <mergeCell ref="A2:H2"/>
    <mergeCell ref="F20:H20"/>
    <mergeCell ref="F21:H21"/>
    <mergeCell ref="A25:D25"/>
    <mergeCell ref="A4:A9"/>
    <mergeCell ref="A10:A19"/>
    <mergeCell ref="A20:A24"/>
    <mergeCell ref="B4:B5"/>
    <mergeCell ref="B6:B7"/>
    <mergeCell ref="B8:B9"/>
    <mergeCell ref="B10:B15"/>
    <mergeCell ref="B16:B19"/>
    <mergeCell ref="B22:B24"/>
    <mergeCell ref="C12:C15"/>
    <mergeCell ref="C17:C19"/>
    <mergeCell ref="E20:E21"/>
    <mergeCell ref="I20:I21"/>
  </mergeCells>
  <printOptions horizontalCentered="1"/>
  <pageMargins left="0.393055555555556" right="0.393055555555556" top="0.393055555555556" bottom="0.196527777777778" header="0.314583333333333" footer="0.118055555555556"/>
  <pageSetup paperSize="9" scale="54"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view="pageBreakPreview" zoomScale="90" zoomScaleNormal="100" workbookViewId="0">
      <pane xSplit="6" ySplit="3" topLeftCell="G16" activePane="bottomRight" state="frozenSplit"/>
      <selection/>
      <selection pane="topRight"/>
      <selection pane="bottomLeft"/>
      <selection pane="bottomRight" activeCell="B19" sqref="B19:B22"/>
    </sheetView>
  </sheetViews>
  <sheetFormatPr defaultColWidth="9" defaultRowHeight="13.5"/>
  <cols>
    <col min="1" max="1" width="8.7" style="148" customWidth="1"/>
    <col min="2" max="2" width="16.8" style="243" customWidth="1"/>
    <col min="3" max="3" width="11.9416666666667" style="243" customWidth="1"/>
    <col min="4" max="4" width="16" style="243" customWidth="1"/>
    <col min="5" max="5" width="19.1" style="243" customWidth="1"/>
    <col min="6" max="6" width="10.9" style="244" customWidth="1"/>
    <col min="7" max="7" width="45.6" style="245" customWidth="1"/>
    <col min="8" max="8" width="15.9" style="243" customWidth="1"/>
    <col min="9" max="9" width="60.3" style="148" customWidth="1"/>
    <col min="10" max="10" width="8.9" style="148" customWidth="1"/>
    <col min="11" max="11" width="8.4" style="148" customWidth="1"/>
    <col min="12" max="16384" width="9" style="148"/>
  </cols>
  <sheetData>
    <row r="1" spans="1:1">
      <c r="A1" s="148" t="s">
        <v>183</v>
      </c>
    </row>
    <row r="2" ht="42.75" customHeight="1" spans="1:9">
      <c r="A2" s="246" t="s">
        <v>184</v>
      </c>
      <c r="B2" s="246"/>
      <c r="C2" s="246"/>
      <c r="D2" s="246"/>
      <c r="E2" s="246"/>
      <c r="F2" s="246"/>
      <c r="G2" s="246"/>
      <c r="H2" s="246"/>
      <c r="I2" s="246"/>
    </row>
    <row r="3" ht="34" customHeight="1" spans="1:11">
      <c r="A3" s="247" t="s">
        <v>2</v>
      </c>
      <c r="B3" s="247" t="s">
        <v>185</v>
      </c>
      <c r="C3" s="247" t="s">
        <v>186</v>
      </c>
      <c r="D3" s="247" t="s">
        <v>82</v>
      </c>
      <c r="E3" s="247" t="s">
        <v>83</v>
      </c>
      <c r="F3" s="248" t="s">
        <v>85</v>
      </c>
      <c r="G3" s="247" t="s">
        <v>86</v>
      </c>
      <c r="H3" s="247" t="s">
        <v>87</v>
      </c>
      <c r="I3" s="247" t="s">
        <v>88</v>
      </c>
      <c r="J3" s="273" t="s">
        <v>13</v>
      </c>
      <c r="K3" s="273" t="s">
        <v>89</v>
      </c>
    </row>
    <row r="4" ht="81" spans="1:11">
      <c r="A4" s="249">
        <v>1</v>
      </c>
      <c r="B4" s="250" t="s">
        <v>187</v>
      </c>
      <c r="C4" s="251">
        <f>[1]Sheet2!E3</f>
        <v>50</v>
      </c>
      <c r="D4" s="234" t="s">
        <v>188</v>
      </c>
      <c r="E4" s="234" t="s">
        <v>189</v>
      </c>
      <c r="F4" s="252">
        <v>8</v>
      </c>
      <c r="G4" s="250" t="s">
        <v>190</v>
      </c>
      <c r="H4" s="253" t="s">
        <v>191</v>
      </c>
      <c r="I4" s="274" t="s">
        <v>192</v>
      </c>
      <c r="J4" s="275">
        <f t="shared" ref="J4:J17" si="0">F4</f>
        <v>8</v>
      </c>
      <c r="K4" s="276">
        <f t="shared" ref="K4:K29" si="1">J4/F4</f>
        <v>1</v>
      </c>
    </row>
    <row r="5" ht="40.5" spans="1:11">
      <c r="A5" s="249"/>
      <c r="B5" s="250"/>
      <c r="C5" s="234"/>
      <c r="D5" s="234" t="s">
        <v>188</v>
      </c>
      <c r="E5" s="234" t="s">
        <v>193</v>
      </c>
      <c r="F5" s="254">
        <v>8</v>
      </c>
      <c r="G5" s="250" t="s">
        <v>194</v>
      </c>
      <c r="H5" s="255" t="s">
        <v>195</v>
      </c>
      <c r="I5" s="274" t="s">
        <v>196</v>
      </c>
      <c r="J5" s="275">
        <f t="shared" si="0"/>
        <v>8</v>
      </c>
      <c r="K5" s="276">
        <f t="shared" si="1"/>
        <v>1</v>
      </c>
    </row>
    <row r="6" ht="40.5" spans="1:11">
      <c r="A6" s="249"/>
      <c r="B6" s="250"/>
      <c r="C6" s="234"/>
      <c r="D6" s="234" t="s">
        <v>197</v>
      </c>
      <c r="E6" s="234" t="s">
        <v>198</v>
      </c>
      <c r="F6" s="252">
        <v>12</v>
      </c>
      <c r="G6" s="250" t="s">
        <v>199</v>
      </c>
      <c r="H6" s="253">
        <v>1</v>
      </c>
      <c r="I6" s="274" t="s">
        <v>200</v>
      </c>
      <c r="J6" s="275">
        <f t="shared" si="0"/>
        <v>12</v>
      </c>
      <c r="K6" s="276">
        <f t="shared" si="1"/>
        <v>1</v>
      </c>
    </row>
    <row r="7" ht="36" customHeight="1" spans="1:12">
      <c r="A7" s="249"/>
      <c r="B7" s="250"/>
      <c r="C7" s="234"/>
      <c r="D7" s="234" t="s">
        <v>175</v>
      </c>
      <c r="E7" s="234" t="s">
        <v>201</v>
      </c>
      <c r="F7" s="252">
        <v>10</v>
      </c>
      <c r="G7" s="250" t="s">
        <v>202</v>
      </c>
      <c r="H7" s="253" t="s">
        <v>203</v>
      </c>
      <c r="I7" s="274" t="s">
        <v>204</v>
      </c>
      <c r="J7" s="275">
        <f t="shared" si="0"/>
        <v>10</v>
      </c>
      <c r="K7" s="276">
        <f t="shared" si="1"/>
        <v>1</v>
      </c>
      <c r="L7" s="148" t="s">
        <v>205</v>
      </c>
    </row>
    <row r="8" ht="40.5" spans="1:12">
      <c r="A8" s="249"/>
      <c r="B8" s="250"/>
      <c r="C8" s="234"/>
      <c r="D8" s="234" t="s">
        <v>175</v>
      </c>
      <c r="E8" s="234" t="s">
        <v>206</v>
      </c>
      <c r="F8" s="252">
        <v>12</v>
      </c>
      <c r="G8" s="250" t="s">
        <v>207</v>
      </c>
      <c r="H8" s="253" t="s">
        <v>208</v>
      </c>
      <c r="I8" s="274" t="s">
        <v>209</v>
      </c>
      <c r="J8" s="275">
        <f t="shared" si="0"/>
        <v>12</v>
      </c>
      <c r="K8" s="276">
        <f t="shared" si="1"/>
        <v>1</v>
      </c>
      <c r="L8" s="148" t="s">
        <v>210</v>
      </c>
    </row>
    <row r="9" ht="61.8" customHeight="1" spans="1:11">
      <c r="A9" s="249" t="s">
        <v>211</v>
      </c>
      <c r="B9" s="234" t="s">
        <v>212</v>
      </c>
      <c r="C9" s="251">
        <f>[1]Sheet2!E4</f>
        <v>1900</v>
      </c>
      <c r="D9" s="234" t="s">
        <v>213</v>
      </c>
      <c r="E9" s="234" t="s">
        <v>214</v>
      </c>
      <c r="F9" s="254">
        <v>3</v>
      </c>
      <c r="G9" s="250" t="s">
        <v>215</v>
      </c>
      <c r="H9" s="234" t="s">
        <v>216</v>
      </c>
      <c r="I9" s="274" t="s">
        <v>217</v>
      </c>
      <c r="J9" s="275">
        <f t="shared" si="0"/>
        <v>3</v>
      </c>
      <c r="K9" s="276">
        <f t="shared" si="1"/>
        <v>1</v>
      </c>
    </row>
    <row r="10" ht="61.8" customHeight="1" spans="1:12">
      <c r="A10" s="249"/>
      <c r="B10" s="234"/>
      <c r="C10" s="234"/>
      <c r="D10" s="234" t="s">
        <v>175</v>
      </c>
      <c r="E10" s="234" t="s">
        <v>218</v>
      </c>
      <c r="F10" s="252">
        <v>13</v>
      </c>
      <c r="G10" s="250" t="s">
        <v>219</v>
      </c>
      <c r="H10" s="253" t="s">
        <v>220</v>
      </c>
      <c r="I10" s="274" t="s">
        <v>221</v>
      </c>
      <c r="J10" s="275">
        <f t="shared" si="0"/>
        <v>13</v>
      </c>
      <c r="K10" s="276">
        <f t="shared" si="1"/>
        <v>1</v>
      </c>
      <c r="L10" s="148" t="s">
        <v>205</v>
      </c>
    </row>
    <row r="11" ht="61.8" customHeight="1" spans="1:12">
      <c r="A11" s="249"/>
      <c r="B11" s="234"/>
      <c r="C11" s="234"/>
      <c r="D11" s="234" t="s">
        <v>175</v>
      </c>
      <c r="E11" s="234" t="s">
        <v>222</v>
      </c>
      <c r="F11" s="254">
        <v>13</v>
      </c>
      <c r="G11" s="250" t="s">
        <v>223</v>
      </c>
      <c r="H11" s="234" t="s">
        <v>224</v>
      </c>
      <c r="I11" s="274" t="s">
        <v>225</v>
      </c>
      <c r="J11" s="275">
        <f t="shared" si="0"/>
        <v>13</v>
      </c>
      <c r="K11" s="276">
        <f t="shared" si="1"/>
        <v>1</v>
      </c>
      <c r="L11" s="148" t="s">
        <v>205</v>
      </c>
    </row>
    <row r="12" ht="61.8" customHeight="1" spans="1:11">
      <c r="A12" s="249"/>
      <c r="B12" s="234"/>
      <c r="C12" s="234"/>
      <c r="D12" s="234" t="s">
        <v>175</v>
      </c>
      <c r="E12" s="234" t="s">
        <v>226</v>
      </c>
      <c r="F12" s="254">
        <v>10</v>
      </c>
      <c r="G12" s="250" t="s">
        <v>227</v>
      </c>
      <c r="H12" s="234" t="s">
        <v>228</v>
      </c>
      <c r="I12" s="274" t="s">
        <v>229</v>
      </c>
      <c r="J12" s="275">
        <f t="shared" si="0"/>
        <v>10</v>
      </c>
      <c r="K12" s="276">
        <f t="shared" si="1"/>
        <v>1</v>
      </c>
    </row>
    <row r="13" ht="61.8" customHeight="1" spans="1:11">
      <c r="A13" s="249"/>
      <c r="B13" s="234"/>
      <c r="C13" s="234"/>
      <c r="D13" s="234" t="s">
        <v>175</v>
      </c>
      <c r="E13" s="234" t="s">
        <v>230</v>
      </c>
      <c r="F13" s="252">
        <v>6</v>
      </c>
      <c r="G13" s="250" t="s">
        <v>231</v>
      </c>
      <c r="H13" s="253" t="s">
        <v>232</v>
      </c>
      <c r="I13" s="274" t="s">
        <v>233</v>
      </c>
      <c r="J13" s="275">
        <f t="shared" si="0"/>
        <v>6</v>
      </c>
      <c r="K13" s="276">
        <f t="shared" si="1"/>
        <v>1</v>
      </c>
    </row>
    <row r="14" ht="65" customHeight="1" spans="1:11">
      <c r="A14" s="249"/>
      <c r="B14" s="234"/>
      <c r="C14" s="234"/>
      <c r="D14" s="234" t="s">
        <v>170</v>
      </c>
      <c r="E14" s="234" t="s">
        <v>234</v>
      </c>
      <c r="F14" s="252">
        <v>5</v>
      </c>
      <c r="G14" s="250" t="s">
        <v>235</v>
      </c>
      <c r="H14" s="253" t="s">
        <v>236</v>
      </c>
      <c r="I14" s="274" t="s">
        <v>237</v>
      </c>
      <c r="J14" s="275">
        <f t="shared" si="0"/>
        <v>5</v>
      </c>
      <c r="K14" s="276">
        <f t="shared" si="1"/>
        <v>1</v>
      </c>
    </row>
    <row r="15" ht="35" customHeight="1" spans="1:11">
      <c r="A15" s="249" t="s">
        <v>238</v>
      </c>
      <c r="B15" s="234" t="s">
        <v>239</v>
      </c>
      <c r="C15" s="251">
        <f>[1]Sheet2!E5</f>
        <v>300</v>
      </c>
      <c r="D15" s="234" t="s">
        <v>188</v>
      </c>
      <c r="E15" s="234" t="s">
        <v>240</v>
      </c>
      <c r="F15" s="254">
        <v>10</v>
      </c>
      <c r="G15" s="250" t="s">
        <v>241</v>
      </c>
      <c r="H15" s="250" t="s">
        <v>242</v>
      </c>
      <c r="I15" s="274" t="s">
        <v>243</v>
      </c>
      <c r="J15" s="275">
        <f t="shared" si="0"/>
        <v>10</v>
      </c>
      <c r="K15" s="276">
        <f t="shared" si="1"/>
        <v>1</v>
      </c>
    </row>
    <row r="16" ht="34.05" customHeight="1" spans="1:12">
      <c r="A16" s="249"/>
      <c r="B16" s="234"/>
      <c r="C16" s="234"/>
      <c r="D16" s="234" t="s">
        <v>175</v>
      </c>
      <c r="E16" s="235" t="s">
        <v>244</v>
      </c>
      <c r="F16" s="254">
        <v>15</v>
      </c>
      <c r="G16" s="250" t="s">
        <v>245</v>
      </c>
      <c r="H16" s="253">
        <v>0.08</v>
      </c>
      <c r="I16" s="277" t="s">
        <v>246</v>
      </c>
      <c r="J16" s="275">
        <f t="shared" si="0"/>
        <v>15</v>
      </c>
      <c r="K16" s="276">
        <f t="shared" si="1"/>
        <v>1</v>
      </c>
      <c r="L16" s="148" t="s">
        <v>205</v>
      </c>
    </row>
    <row r="17" ht="48.6" customHeight="1" spans="1:11">
      <c r="A17" s="249"/>
      <c r="B17" s="234"/>
      <c r="C17" s="234"/>
      <c r="D17" s="234" t="s">
        <v>175</v>
      </c>
      <c r="E17" s="235" t="s">
        <v>247</v>
      </c>
      <c r="F17" s="254">
        <v>15</v>
      </c>
      <c r="G17" s="250" t="s">
        <v>248</v>
      </c>
      <c r="H17" s="253">
        <v>0.7</v>
      </c>
      <c r="I17" s="277" t="s">
        <v>249</v>
      </c>
      <c r="J17" s="275">
        <f t="shared" si="0"/>
        <v>15</v>
      </c>
      <c r="K17" s="276">
        <f t="shared" si="1"/>
        <v>1</v>
      </c>
    </row>
    <row r="18" ht="46.2" customHeight="1" spans="1:12">
      <c r="A18" s="249"/>
      <c r="B18" s="234"/>
      <c r="C18" s="234"/>
      <c r="D18" s="234" t="s">
        <v>170</v>
      </c>
      <c r="E18" s="234" t="s">
        <v>250</v>
      </c>
      <c r="F18" s="254">
        <v>10</v>
      </c>
      <c r="G18" s="250" t="s">
        <v>251</v>
      </c>
      <c r="H18" s="234" t="s">
        <v>252</v>
      </c>
      <c r="I18" s="277" t="s">
        <v>253</v>
      </c>
      <c r="J18" s="275">
        <v>5</v>
      </c>
      <c r="K18" s="276">
        <f t="shared" si="1"/>
        <v>0.5</v>
      </c>
      <c r="L18" s="148" t="s">
        <v>254</v>
      </c>
    </row>
    <row r="19" ht="46.2" customHeight="1" spans="1:11">
      <c r="A19" s="249" t="s">
        <v>255</v>
      </c>
      <c r="B19" s="234" t="s">
        <v>256</v>
      </c>
      <c r="C19" s="256">
        <f>[1]Sheet2!E6</f>
        <v>2800</v>
      </c>
      <c r="D19" s="234" t="s">
        <v>188</v>
      </c>
      <c r="E19" s="234" t="s">
        <v>257</v>
      </c>
      <c r="F19" s="254">
        <v>15</v>
      </c>
      <c r="G19" s="250" t="s">
        <v>258</v>
      </c>
      <c r="H19" s="257">
        <v>1</v>
      </c>
      <c r="I19" s="250" t="s">
        <v>259</v>
      </c>
      <c r="J19" s="275">
        <v>15</v>
      </c>
      <c r="K19" s="276">
        <f t="shared" si="1"/>
        <v>1</v>
      </c>
    </row>
    <row r="20" ht="46.2" customHeight="1" spans="1:11">
      <c r="A20" s="249"/>
      <c r="B20" s="234"/>
      <c r="C20" s="258"/>
      <c r="D20" s="234" t="s">
        <v>188</v>
      </c>
      <c r="E20" s="234" t="s">
        <v>260</v>
      </c>
      <c r="F20" s="254">
        <v>15</v>
      </c>
      <c r="G20" s="250" t="s">
        <v>261</v>
      </c>
      <c r="H20" s="257">
        <v>1</v>
      </c>
      <c r="I20" s="250" t="s">
        <v>259</v>
      </c>
      <c r="J20" s="275">
        <v>15</v>
      </c>
      <c r="K20" s="276">
        <f t="shared" si="1"/>
        <v>1</v>
      </c>
    </row>
    <row r="21" ht="46.2" customHeight="1" spans="1:11">
      <c r="A21" s="249"/>
      <c r="B21" s="234"/>
      <c r="C21" s="258"/>
      <c r="D21" s="234" t="s">
        <v>188</v>
      </c>
      <c r="E21" s="234" t="s">
        <v>262</v>
      </c>
      <c r="F21" s="254">
        <v>6</v>
      </c>
      <c r="G21" s="250" t="s">
        <v>263</v>
      </c>
      <c r="H21" s="257">
        <v>1</v>
      </c>
      <c r="I21" s="250" t="s">
        <v>259</v>
      </c>
      <c r="J21" s="275">
        <v>3</v>
      </c>
      <c r="K21" s="276">
        <f t="shared" si="1"/>
        <v>0.5</v>
      </c>
    </row>
    <row r="22" ht="46.2" customHeight="1" spans="1:11">
      <c r="A22" s="249"/>
      <c r="B22" s="234"/>
      <c r="C22" s="259"/>
      <c r="D22" s="234" t="s">
        <v>213</v>
      </c>
      <c r="E22" s="234" t="s">
        <v>264</v>
      </c>
      <c r="F22" s="254">
        <v>14</v>
      </c>
      <c r="G22" s="250" t="s">
        <v>265</v>
      </c>
      <c r="H22" s="257" t="s">
        <v>266</v>
      </c>
      <c r="I22" s="250" t="s">
        <v>267</v>
      </c>
      <c r="J22" s="275">
        <v>9</v>
      </c>
      <c r="K22" s="276">
        <f t="shared" si="1"/>
        <v>0.642857142857143</v>
      </c>
    </row>
    <row r="23" ht="38.4" customHeight="1" spans="1:11">
      <c r="A23" s="260" t="s">
        <v>268</v>
      </c>
      <c r="B23" s="235" t="s">
        <v>269</v>
      </c>
      <c r="C23" s="261">
        <f>[1]Sheet2!E7</f>
        <v>200</v>
      </c>
      <c r="D23" s="235" t="s">
        <v>213</v>
      </c>
      <c r="E23" s="235" t="s">
        <v>270</v>
      </c>
      <c r="F23" s="262">
        <v>10</v>
      </c>
      <c r="G23" s="28" t="s">
        <v>271</v>
      </c>
      <c r="H23" s="263">
        <v>1</v>
      </c>
      <c r="I23" s="28" t="s">
        <v>272</v>
      </c>
      <c r="J23" s="278">
        <v>10</v>
      </c>
      <c r="K23" s="276">
        <f t="shared" si="1"/>
        <v>1</v>
      </c>
    </row>
    <row r="24" ht="32.4" customHeight="1" spans="1:11">
      <c r="A24" s="260"/>
      <c r="B24" s="235"/>
      <c r="C24" s="235"/>
      <c r="D24" s="235" t="s">
        <v>197</v>
      </c>
      <c r="E24" s="235" t="s">
        <v>273</v>
      </c>
      <c r="F24" s="262">
        <v>10</v>
      </c>
      <c r="G24" s="28" t="s">
        <v>274</v>
      </c>
      <c r="H24" s="263">
        <v>1</v>
      </c>
      <c r="I24" s="28" t="s">
        <v>275</v>
      </c>
      <c r="J24" s="278">
        <v>10</v>
      </c>
      <c r="K24" s="276">
        <f t="shared" si="1"/>
        <v>1</v>
      </c>
    </row>
    <row r="25" ht="32.4" customHeight="1" spans="1:11">
      <c r="A25" s="260"/>
      <c r="B25" s="235"/>
      <c r="C25" s="235"/>
      <c r="D25" s="235" t="s">
        <v>175</v>
      </c>
      <c r="E25" s="235" t="s">
        <v>276</v>
      </c>
      <c r="F25" s="262">
        <v>15</v>
      </c>
      <c r="G25" s="28" t="s">
        <v>277</v>
      </c>
      <c r="H25" s="263" t="s">
        <v>278</v>
      </c>
      <c r="I25" s="28" t="s">
        <v>279</v>
      </c>
      <c r="J25" s="278">
        <v>15</v>
      </c>
      <c r="K25" s="276">
        <f t="shared" si="1"/>
        <v>1</v>
      </c>
    </row>
    <row r="26" ht="32.4" customHeight="1" spans="1:11">
      <c r="A26" s="260"/>
      <c r="B26" s="235"/>
      <c r="C26" s="235"/>
      <c r="D26" s="235" t="s">
        <v>175</v>
      </c>
      <c r="E26" s="235" t="s">
        <v>280</v>
      </c>
      <c r="F26" s="262">
        <v>15</v>
      </c>
      <c r="G26" s="28" t="s">
        <v>281</v>
      </c>
      <c r="H26" s="235" t="s">
        <v>282</v>
      </c>
      <c r="I26" s="279" t="s">
        <v>283</v>
      </c>
      <c r="J26" s="278">
        <v>15</v>
      </c>
      <c r="K26" s="276">
        <f t="shared" si="1"/>
        <v>1</v>
      </c>
    </row>
    <row r="27" ht="43.8" customHeight="1" spans="1:11">
      <c r="A27" s="260" t="s">
        <v>284</v>
      </c>
      <c r="B27" s="235" t="s">
        <v>285</v>
      </c>
      <c r="C27" s="261">
        <f>[1]Sheet2!E8+[1]Sheet2!E9</f>
        <v>430</v>
      </c>
      <c r="D27" s="235" t="s">
        <v>188</v>
      </c>
      <c r="E27" s="235" t="s">
        <v>286</v>
      </c>
      <c r="F27" s="262">
        <v>20</v>
      </c>
      <c r="G27" s="28" t="s">
        <v>287</v>
      </c>
      <c r="H27" s="263">
        <v>1</v>
      </c>
      <c r="I27" s="28" t="s">
        <v>259</v>
      </c>
      <c r="J27" s="278">
        <f t="shared" ref="J27:J29" si="2">F27</f>
        <v>20</v>
      </c>
      <c r="K27" s="276">
        <f t="shared" si="1"/>
        <v>1</v>
      </c>
    </row>
    <row r="28" ht="32.4" customHeight="1" spans="1:11">
      <c r="A28" s="260"/>
      <c r="B28" s="235"/>
      <c r="C28" s="235"/>
      <c r="D28" s="235" t="s">
        <v>188</v>
      </c>
      <c r="E28" s="235" t="s">
        <v>288</v>
      </c>
      <c r="F28" s="262">
        <v>15</v>
      </c>
      <c r="G28" s="28" t="s">
        <v>289</v>
      </c>
      <c r="H28" s="263">
        <v>1</v>
      </c>
      <c r="I28" s="28" t="s">
        <v>259</v>
      </c>
      <c r="J28" s="278">
        <f t="shared" si="2"/>
        <v>15</v>
      </c>
      <c r="K28" s="276">
        <f t="shared" si="1"/>
        <v>1</v>
      </c>
    </row>
    <row r="29" ht="32.4" customHeight="1" spans="1:11">
      <c r="A29" s="260"/>
      <c r="B29" s="235"/>
      <c r="C29" s="235"/>
      <c r="D29" s="235" t="s">
        <v>188</v>
      </c>
      <c r="E29" s="235" t="s">
        <v>290</v>
      </c>
      <c r="F29" s="264">
        <v>15</v>
      </c>
      <c r="G29" s="28" t="s">
        <v>291</v>
      </c>
      <c r="H29" s="263">
        <v>1</v>
      </c>
      <c r="I29" s="28" t="s">
        <v>259</v>
      </c>
      <c r="J29" s="278">
        <f t="shared" si="2"/>
        <v>15</v>
      </c>
      <c r="K29" s="276">
        <f t="shared" si="1"/>
        <v>1</v>
      </c>
    </row>
    <row r="30" ht="25.5" customHeight="1" spans="1:11">
      <c r="A30" s="201" t="s">
        <v>20</v>
      </c>
      <c r="B30" s="201"/>
      <c r="C30" s="265">
        <f>SUM(C4:C27)</f>
        <v>5680</v>
      </c>
      <c r="D30" s="266"/>
      <c r="E30" s="266"/>
      <c r="F30" s="267">
        <f>SUM(F4:F29)</f>
        <v>300</v>
      </c>
      <c r="G30" s="268"/>
      <c r="H30" s="201"/>
      <c r="I30" s="201"/>
      <c r="J30" s="267">
        <f>SUM(J4:J29)</f>
        <v>287</v>
      </c>
      <c r="K30" s="280"/>
    </row>
    <row r="31" ht="25.5" customHeight="1" spans="1:11">
      <c r="A31" s="269"/>
      <c r="B31" s="269"/>
      <c r="C31" s="269"/>
      <c r="D31" s="269"/>
      <c r="E31" s="269"/>
      <c r="F31" s="270"/>
      <c r="G31" s="271"/>
      <c r="H31" s="269"/>
      <c r="I31" s="269"/>
      <c r="J31" s="269"/>
      <c r="K31" s="281"/>
    </row>
    <row r="32" spans="7:10">
      <c r="G32" s="245" t="s">
        <v>25</v>
      </c>
      <c r="H32" s="243" t="s">
        <v>292</v>
      </c>
      <c r="I32" s="148" t="s">
        <v>293</v>
      </c>
      <c r="J32" s="148" t="s">
        <v>13</v>
      </c>
    </row>
    <row r="33" spans="7:10">
      <c r="G33" s="245" t="s">
        <v>37</v>
      </c>
      <c r="H33" s="272">
        <v>50</v>
      </c>
      <c r="I33" s="282">
        <f t="shared" ref="I33:I38" si="3">H33/$H$40</f>
        <v>0.00880281690140845</v>
      </c>
      <c r="J33" s="81" t="e">
        <f>(J4+#REF!)*I33</f>
        <v>#REF!</v>
      </c>
    </row>
    <row r="34" spans="4:10">
      <c r="D34" s="243">
        <v>1230</v>
      </c>
      <c r="G34" s="245" t="s">
        <v>294</v>
      </c>
      <c r="H34" s="272">
        <f>1900</f>
        <v>1900</v>
      </c>
      <c r="I34" s="282">
        <f t="shared" si="3"/>
        <v>0.334507042253521</v>
      </c>
      <c r="J34" s="81"/>
    </row>
    <row r="35" spans="4:10">
      <c r="D35" s="243">
        <v>2800</v>
      </c>
      <c r="G35" s="245" t="s">
        <v>41</v>
      </c>
      <c r="H35" s="272">
        <v>300</v>
      </c>
      <c r="I35" s="282">
        <f t="shared" si="3"/>
        <v>0.0528169014084507</v>
      </c>
      <c r="J35" s="81"/>
    </row>
    <row r="36" spans="7:10">
      <c r="G36" s="245" t="s">
        <v>295</v>
      </c>
      <c r="H36" s="272">
        <v>2800</v>
      </c>
      <c r="I36" s="282">
        <f t="shared" si="3"/>
        <v>0.492957746478873</v>
      </c>
      <c r="J36" s="81"/>
    </row>
    <row r="37" spans="7:10">
      <c r="G37" s="245" t="s">
        <v>269</v>
      </c>
      <c r="H37" s="272">
        <v>200</v>
      </c>
      <c r="I37" s="282">
        <f t="shared" si="3"/>
        <v>0.0352112676056338</v>
      </c>
      <c r="J37" s="81"/>
    </row>
    <row r="38" spans="7:10">
      <c r="G38" s="245" t="s">
        <v>44</v>
      </c>
      <c r="H38" s="272">
        <f>C27</f>
        <v>430</v>
      </c>
      <c r="I38" s="282">
        <f t="shared" si="3"/>
        <v>0.0757042253521127</v>
      </c>
      <c r="J38" s="81"/>
    </row>
    <row r="39" spans="8:10">
      <c r="H39" s="272"/>
      <c r="I39" s="282"/>
      <c r="J39" s="81"/>
    </row>
    <row r="40" spans="7:10">
      <c r="G40" s="245" t="s">
        <v>20</v>
      </c>
      <c r="H40" s="272">
        <f>SUM(H33:H39)</f>
        <v>5680</v>
      </c>
      <c r="I40" s="282">
        <f>H40/$H$40</f>
        <v>1</v>
      </c>
      <c r="J40" s="148">
        <f>45*I40</f>
        <v>45</v>
      </c>
    </row>
    <row r="49" spans="7:7">
      <c r="G49" s="245">
        <f>100/6</f>
        <v>16.6666666666667</v>
      </c>
    </row>
  </sheetData>
  <mergeCells count="20">
    <mergeCell ref="A2:I2"/>
    <mergeCell ref="A30:B30"/>
    <mergeCell ref="A4:A8"/>
    <mergeCell ref="A9:A14"/>
    <mergeCell ref="A15:A18"/>
    <mergeCell ref="A19:A22"/>
    <mergeCell ref="A23:A26"/>
    <mergeCell ref="A27:A29"/>
    <mergeCell ref="B4:B8"/>
    <mergeCell ref="B9:B14"/>
    <mergeCell ref="B15:B18"/>
    <mergeCell ref="B19:B22"/>
    <mergeCell ref="B23:B26"/>
    <mergeCell ref="B27:B29"/>
    <mergeCell ref="C4:C8"/>
    <mergeCell ref="C9:C14"/>
    <mergeCell ref="C15:C18"/>
    <mergeCell ref="C19:C22"/>
    <mergeCell ref="C23:C26"/>
    <mergeCell ref="C27:C29"/>
  </mergeCells>
  <printOptions horizontalCentered="1"/>
  <pageMargins left="0.393055555555556" right="0.393055555555556" top="0.590277777777778" bottom="0.354166666666667" header="0.314583333333333" footer="0.118055555555556"/>
  <pageSetup paperSize="9" scale="58" fitToHeight="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pageSetUpPr fitToPage="1"/>
  </sheetPr>
  <dimension ref="A1:P10"/>
  <sheetViews>
    <sheetView view="pageBreakPreview" zoomScaleNormal="100" workbookViewId="0">
      <selection activeCell="C15" sqref="C15"/>
    </sheetView>
  </sheetViews>
  <sheetFormatPr defaultColWidth="8.7" defaultRowHeight="13.5"/>
  <cols>
    <col min="1" max="1" width="13.3" style="233"/>
    <col min="2" max="2" width="8.7" style="233"/>
    <col min="3" max="3" width="35.5" style="233" customWidth="1"/>
    <col min="4" max="4" width="14.4" style="233"/>
    <col min="5" max="5" width="9.25" style="233"/>
    <col min="6" max="6" width="13.3" style="233" customWidth="1"/>
    <col min="7" max="7" width="11.5" style="233" customWidth="1"/>
    <col min="8" max="8" width="11.2" style="233" customWidth="1"/>
    <col min="9" max="9" width="14.1" style="233" hidden="1" customWidth="1"/>
    <col min="10" max="10" width="9.6" style="233" hidden="1" customWidth="1"/>
    <col min="11" max="11" width="10.375" style="233" hidden="1" customWidth="1"/>
    <col min="12" max="12" width="9.25" style="233" hidden="1" customWidth="1"/>
    <col min="13" max="13" width="10.375" style="233" hidden="1" customWidth="1"/>
    <col min="14" max="14" width="9.25" style="233" hidden="1" customWidth="1"/>
    <col min="15" max="15" width="10.375" style="233" hidden="1" customWidth="1"/>
    <col min="16" max="16" width="10.5" style="233" hidden="1" customWidth="1"/>
    <col min="17" max="16384" width="8.7" style="233"/>
  </cols>
  <sheetData>
    <row r="1" spans="1:1">
      <c r="A1" s="148" t="s">
        <v>296</v>
      </c>
    </row>
    <row r="2" ht="25.8" customHeight="1" spans="1:16">
      <c r="A2" s="55" t="s">
        <v>297</v>
      </c>
      <c r="B2" s="55"/>
      <c r="C2" s="55"/>
      <c r="D2" s="55"/>
      <c r="E2" s="55"/>
      <c r="F2" s="55"/>
      <c r="G2" s="55"/>
      <c r="H2" s="55"/>
      <c r="I2" s="73" t="s">
        <v>8</v>
      </c>
      <c r="J2" s="73"/>
      <c r="K2" s="73"/>
      <c r="L2" s="73"/>
      <c r="M2" s="73" t="s">
        <v>9</v>
      </c>
      <c r="N2" s="73"/>
      <c r="O2" s="73"/>
      <c r="P2" s="73"/>
    </row>
    <row r="3" ht="37.05" customHeight="1" spans="1:16">
      <c r="A3" s="200" t="s">
        <v>3</v>
      </c>
      <c r="B3" s="200" t="s">
        <v>24</v>
      </c>
      <c r="C3" s="200" t="s">
        <v>25</v>
      </c>
      <c r="D3" s="200" t="s">
        <v>298</v>
      </c>
      <c r="E3" s="200" t="s">
        <v>299</v>
      </c>
      <c r="F3" s="201" t="s">
        <v>300</v>
      </c>
      <c r="G3" s="201" t="s">
        <v>13</v>
      </c>
      <c r="H3" s="201" t="s">
        <v>301</v>
      </c>
      <c r="I3" s="73" t="s">
        <v>11</v>
      </c>
      <c r="J3" s="74" t="s">
        <v>302</v>
      </c>
      <c r="K3" s="73" t="s">
        <v>13</v>
      </c>
      <c r="L3" s="74" t="s">
        <v>303</v>
      </c>
      <c r="M3" s="73" t="s">
        <v>11</v>
      </c>
      <c r="N3" s="74" t="s">
        <v>302</v>
      </c>
      <c r="O3" s="73" t="s">
        <v>13</v>
      </c>
      <c r="P3" s="74" t="s">
        <v>303</v>
      </c>
    </row>
    <row r="4" ht="27" customHeight="1" spans="1:16">
      <c r="A4" s="234" t="s">
        <v>16</v>
      </c>
      <c r="B4" s="235" t="s">
        <v>33</v>
      </c>
      <c r="C4" s="236" t="s">
        <v>37</v>
      </c>
      <c r="D4" s="62">
        <v>50</v>
      </c>
      <c r="E4" s="62">
        <v>50</v>
      </c>
      <c r="F4" s="237">
        <f t="shared" ref="F4:F9" si="0">E4*D4/$D$10</f>
        <v>0.440140845070423</v>
      </c>
      <c r="G4" s="237">
        <v>50</v>
      </c>
      <c r="H4" s="237">
        <f t="shared" ref="H4:H9" si="1">G4*D4/$D$10</f>
        <v>0.440140845070423</v>
      </c>
      <c r="I4" s="75">
        <f>'3-2青岛日报报业集团产出及效益绩效汇总表'!F4+'3-2青岛日报报业集团产出及效益绩效汇总表'!F5+'3-2青岛日报报业集团产出及效益绩效汇总表'!F6</f>
        <v>28</v>
      </c>
      <c r="J4" s="75">
        <f>D4/$D$10*I4</f>
        <v>0.246478873239437</v>
      </c>
      <c r="K4" s="75">
        <f>'3-2青岛日报报业集团产出及效益绩效汇总表'!J4+'3-2青岛日报报业集团产出及效益绩效汇总表'!J5+'3-2青岛日报报业集团产出及效益绩效汇总表'!J6</f>
        <v>28</v>
      </c>
      <c r="L4" s="75">
        <f>D4/$D$10*K4</f>
        <v>0.246478873239437</v>
      </c>
      <c r="M4" s="75">
        <f>'3-2青岛日报报业集团产出及效益绩效汇总表'!F7+'3-2青岛日报报业集团产出及效益绩效汇总表'!F8</f>
        <v>22</v>
      </c>
      <c r="N4" s="75">
        <f>D4/$D$10*M4</f>
        <v>0.193661971830986</v>
      </c>
      <c r="O4" s="75">
        <f>'3-2青岛日报报业集团产出及效益绩效汇总表'!J7+'3-2青岛日报报业集团产出及效益绩效汇总表'!J8</f>
        <v>22</v>
      </c>
      <c r="P4" s="75">
        <f>D4/$D$10*O4</f>
        <v>0.193661971830986</v>
      </c>
    </row>
    <row r="5" ht="27" customHeight="1" spans="1:16">
      <c r="A5" s="234"/>
      <c r="B5" s="235" t="s">
        <v>33</v>
      </c>
      <c r="C5" s="28" t="s">
        <v>304</v>
      </c>
      <c r="D5" s="62">
        <v>1900</v>
      </c>
      <c r="E5" s="62">
        <v>50</v>
      </c>
      <c r="F5" s="237">
        <f t="shared" si="0"/>
        <v>16.7253521126761</v>
      </c>
      <c r="G5" s="237">
        <v>50</v>
      </c>
      <c r="H5" s="237">
        <f t="shared" si="1"/>
        <v>16.7253521126761</v>
      </c>
      <c r="I5" s="50">
        <f>'3-2青岛日报报业集团产出及效益绩效汇总表'!F9</f>
        <v>3</v>
      </c>
      <c r="J5" s="75">
        <f t="shared" ref="J5:J9" si="2">D5/$D$10*I5</f>
        <v>1.00352112676056</v>
      </c>
      <c r="K5" s="50">
        <f>'3-2青岛日报报业集团产出及效益绩效汇总表'!J9</f>
        <v>3</v>
      </c>
      <c r="L5" s="75">
        <f t="shared" ref="L5:L9" si="3">D5/$D$10*K5</f>
        <v>1.00352112676056</v>
      </c>
      <c r="M5" s="50">
        <f>'3-2青岛日报报业集团产出及效益绩效汇总表'!F10+'3-2青岛日报报业集团产出及效益绩效汇总表'!F11+'3-2青岛日报报业集团产出及效益绩效汇总表'!F12+'3-2青岛日报报业集团产出及效益绩效汇总表'!F13+'3-2青岛日报报业集团产出及效益绩效汇总表'!F14</f>
        <v>47</v>
      </c>
      <c r="N5" s="75">
        <f t="shared" ref="N5:N9" si="4">D5/$D$10*M5</f>
        <v>15.7218309859155</v>
      </c>
      <c r="O5" s="50">
        <f>'3-2青岛日报报业集团产出及效益绩效汇总表'!J10+'3-2青岛日报报业集团产出及效益绩效汇总表'!J11+'3-2青岛日报报业集团产出及效益绩效汇总表'!J12+'3-2青岛日报报业集团产出及效益绩效汇总表'!J13+'3-2青岛日报报业集团产出及效益绩效汇总表'!J14</f>
        <v>47</v>
      </c>
      <c r="P5" s="75">
        <f t="shared" ref="P5:P9" si="5">D5/$D$10*O5</f>
        <v>15.7218309859155</v>
      </c>
    </row>
    <row r="6" ht="27" customHeight="1" spans="1:16">
      <c r="A6" s="234"/>
      <c r="B6" s="235" t="s">
        <v>33</v>
      </c>
      <c r="C6" s="236" t="s">
        <v>41</v>
      </c>
      <c r="D6" s="62">
        <v>300</v>
      </c>
      <c r="E6" s="62">
        <v>50</v>
      </c>
      <c r="F6" s="237">
        <f t="shared" si="0"/>
        <v>2.64084507042253</v>
      </c>
      <c r="G6" s="237">
        <v>45</v>
      </c>
      <c r="H6" s="237">
        <f t="shared" si="1"/>
        <v>2.37676056338028</v>
      </c>
      <c r="I6" s="50">
        <f>'3-2青岛日报报业集团产出及效益绩效汇总表'!F15</f>
        <v>10</v>
      </c>
      <c r="J6" s="75">
        <f t="shared" si="2"/>
        <v>0.528169014084507</v>
      </c>
      <c r="K6" s="50">
        <f>'3-2青岛日报报业集团产出及效益绩效汇总表'!J15</f>
        <v>10</v>
      </c>
      <c r="L6" s="75">
        <f t="shared" si="3"/>
        <v>0.528169014084507</v>
      </c>
      <c r="M6" s="50">
        <f>'3-2青岛日报报业集团产出及效益绩效汇总表'!F16+'3-2青岛日报报业集团产出及效益绩效汇总表'!F17+'3-2青岛日报报业集团产出及效益绩效汇总表'!F18</f>
        <v>40</v>
      </c>
      <c r="N6" s="75">
        <f t="shared" si="4"/>
        <v>2.11267605633803</v>
      </c>
      <c r="O6" s="50">
        <f>'3-2青岛日报报业集团产出及效益绩效汇总表'!J16+'3-2青岛日报报业集团产出及效益绩效汇总表'!J17+'3-2青岛日报报业集团产出及效益绩效汇总表'!J18</f>
        <v>35</v>
      </c>
      <c r="P6" s="75">
        <f t="shared" si="5"/>
        <v>1.84859154929577</v>
      </c>
    </row>
    <row r="7" ht="27" customHeight="1" spans="1:16">
      <c r="A7" s="234"/>
      <c r="B7" s="235" t="s">
        <v>34</v>
      </c>
      <c r="C7" s="28" t="s">
        <v>305</v>
      </c>
      <c r="D7" s="62">
        <v>2800</v>
      </c>
      <c r="E7" s="62">
        <v>50</v>
      </c>
      <c r="F7" s="237">
        <f t="shared" si="0"/>
        <v>24.6478873239437</v>
      </c>
      <c r="G7" s="237">
        <v>37</v>
      </c>
      <c r="H7" s="237">
        <f t="shared" si="1"/>
        <v>18.2394366197183</v>
      </c>
      <c r="I7" s="50">
        <f>'3-2青岛日报报业集团产出及效益绩效汇总表'!F19+'3-2青岛日报报业集团产出及效益绩效汇总表'!F20+'3-2青岛日报报业集团产出及效益绩效汇总表'!F21+'3-2青岛日报报业集团产出及效益绩效汇总表'!F22</f>
        <v>50</v>
      </c>
      <c r="J7" s="75">
        <f t="shared" si="2"/>
        <v>24.6478873239437</v>
      </c>
      <c r="K7" s="50">
        <f>'3-2青岛日报报业集团产出及效益绩效汇总表'!J19+'3-2青岛日报报业集团产出及效益绩效汇总表'!J20+'3-2青岛日报报业集团产出及效益绩效汇总表'!J21+'3-2青岛日报报业集团产出及效益绩效汇总表'!J22</f>
        <v>42</v>
      </c>
      <c r="L7" s="75">
        <f t="shared" si="3"/>
        <v>20.7042253521127</v>
      </c>
      <c r="M7" s="50"/>
      <c r="N7" s="75">
        <f t="shared" si="4"/>
        <v>0</v>
      </c>
      <c r="O7" s="50"/>
      <c r="P7" s="75">
        <f t="shared" si="5"/>
        <v>0</v>
      </c>
    </row>
    <row r="8" ht="27" customHeight="1" spans="1:16">
      <c r="A8" s="234"/>
      <c r="B8" s="235" t="s">
        <v>34</v>
      </c>
      <c r="C8" s="236" t="s">
        <v>269</v>
      </c>
      <c r="D8" s="62">
        <v>200</v>
      </c>
      <c r="E8" s="62">
        <v>50</v>
      </c>
      <c r="F8" s="237">
        <f t="shared" si="0"/>
        <v>1.76056338028169</v>
      </c>
      <c r="G8" s="237">
        <v>50</v>
      </c>
      <c r="H8" s="237">
        <f t="shared" si="1"/>
        <v>1.76056338028169</v>
      </c>
      <c r="I8" s="50">
        <f>'3-2青岛日报报业集团产出及效益绩效汇总表'!F23+'3-2青岛日报报业集团产出及效益绩效汇总表'!F24</f>
        <v>20</v>
      </c>
      <c r="J8" s="75">
        <f t="shared" si="2"/>
        <v>0.704225352112676</v>
      </c>
      <c r="K8" s="50">
        <f>'3-2青岛日报报业集团产出及效益绩效汇总表'!J23+'3-2青岛日报报业集团产出及效益绩效汇总表'!J24</f>
        <v>20</v>
      </c>
      <c r="L8" s="75">
        <f t="shared" si="3"/>
        <v>0.704225352112676</v>
      </c>
      <c r="M8" s="50">
        <f>'3-2青岛日报报业集团产出及效益绩效汇总表'!F25+'3-2青岛日报报业集团产出及效益绩效汇总表'!F26</f>
        <v>30</v>
      </c>
      <c r="N8" s="75">
        <f t="shared" si="4"/>
        <v>1.05633802816901</v>
      </c>
      <c r="O8" s="50">
        <f>'3-2青岛日报报业集团产出及效益绩效汇总表'!J25+'3-2青岛日报报业集团产出及效益绩效汇总表'!J26</f>
        <v>30</v>
      </c>
      <c r="P8" s="75">
        <f t="shared" si="5"/>
        <v>1.05633802816901</v>
      </c>
    </row>
    <row r="9" ht="27" customHeight="1" spans="1:16">
      <c r="A9" s="234"/>
      <c r="B9" s="235" t="s">
        <v>34</v>
      </c>
      <c r="C9" s="236" t="s">
        <v>285</v>
      </c>
      <c r="D9" s="62">
        <v>430</v>
      </c>
      <c r="E9" s="62">
        <v>50</v>
      </c>
      <c r="F9" s="237">
        <f t="shared" si="0"/>
        <v>3.78521126760563</v>
      </c>
      <c r="G9" s="237">
        <v>50</v>
      </c>
      <c r="H9" s="237">
        <f t="shared" si="1"/>
        <v>3.78521126760563</v>
      </c>
      <c r="I9" s="50">
        <f>'3-2青岛日报报业集团产出及效益绩效汇总表'!F27+'3-2青岛日报报业集团产出及效益绩效汇总表'!F28+'3-2青岛日报报业集团产出及效益绩效汇总表'!F29</f>
        <v>50</v>
      </c>
      <c r="J9" s="75">
        <f t="shared" si="2"/>
        <v>3.78521126760563</v>
      </c>
      <c r="K9" s="50">
        <f>'3-2青岛日报报业集团产出及效益绩效汇总表'!J27+'3-2青岛日报报业集团产出及效益绩效汇总表'!J28+'3-2青岛日报报业集团产出及效益绩效汇总表'!J29</f>
        <v>50</v>
      </c>
      <c r="L9" s="75">
        <f t="shared" si="3"/>
        <v>3.78521126760563</v>
      </c>
      <c r="M9" s="50"/>
      <c r="N9" s="75">
        <f t="shared" si="4"/>
        <v>0</v>
      </c>
      <c r="O9" s="50"/>
      <c r="P9" s="75">
        <f t="shared" si="5"/>
        <v>0</v>
      </c>
    </row>
    <row r="10" s="232" customFormat="1" ht="27" customHeight="1" spans="1:16">
      <c r="A10" s="238" t="s">
        <v>20</v>
      </c>
      <c r="B10" s="239"/>
      <c r="C10" s="240"/>
      <c r="D10" s="241">
        <f t="shared" ref="D10:H10" si="6">SUM(D4:D9)</f>
        <v>5680</v>
      </c>
      <c r="E10" s="241">
        <f t="shared" si="6"/>
        <v>300</v>
      </c>
      <c r="F10" s="242">
        <f t="shared" si="6"/>
        <v>50</v>
      </c>
      <c r="G10" s="242">
        <f t="shared" si="6"/>
        <v>282</v>
      </c>
      <c r="H10" s="242">
        <f t="shared" si="6"/>
        <v>43.3274647887324</v>
      </c>
      <c r="I10" s="205">
        <f t="shared" ref="I10:P10" si="7">SUM(I4:I9)</f>
        <v>161</v>
      </c>
      <c r="J10" s="205">
        <f t="shared" si="7"/>
        <v>30.9154929577465</v>
      </c>
      <c r="K10" s="205">
        <f t="shared" si="7"/>
        <v>153</v>
      </c>
      <c r="L10" s="205">
        <f t="shared" si="7"/>
        <v>26.9718309859155</v>
      </c>
      <c r="M10" s="205">
        <f t="shared" si="7"/>
        <v>139</v>
      </c>
      <c r="N10" s="205">
        <f t="shared" si="7"/>
        <v>19.0845070422535</v>
      </c>
      <c r="O10" s="205">
        <f t="shared" si="7"/>
        <v>134</v>
      </c>
      <c r="P10" s="205">
        <f t="shared" si="7"/>
        <v>18.8204225352113</v>
      </c>
    </row>
  </sheetData>
  <mergeCells count="5">
    <mergeCell ref="A2:H2"/>
    <mergeCell ref="I2:L2"/>
    <mergeCell ref="M2:P2"/>
    <mergeCell ref="A10:C10"/>
    <mergeCell ref="A4:A9"/>
  </mergeCells>
  <pageMargins left="0.751388888888889" right="0.751388888888889" top="1" bottom="1" header="0.5" footer="0.5"/>
  <pageSetup paperSize="9" scale="69"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view="pageBreakPreview" zoomScale="80" zoomScaleNormal="100" workbookViewId="0">
      <pane xSplit="5" ySplit="3" topLeftCell="F13" activePane="bottomRight" state="frozenSplit"/>
      <selection/>
      <selection pane="topRight"/>
      <selection pane="bottomLeft"/>
      <selection pane="bottomRight" activeCell="B16" sqref="B16:H19"/>
    </sheetView>
  </sheetViews>
  <sheetFormatPr defaultColWidth="9" defaultRowHeight="13.5"/>
  <cols>
    <col min="1" max="1" width="8.7" style="113" customWidth="1"/>
    <col min="2" max="2" width="16.8" style="114" customWidth="1"/>
    <col min="3" max="3" width="16.4" style="114" customWidth="1"/>
    <col min="4" max="4" width="28.75" style="114" customWidth="1"/>
    <col min="5" max="5" width="9.6" style="183" customWidth="1"/>
    <col min="6" max="6" width="51.7166666666667" style="116" customWidth="1"/>
    <col min="7" max="7" width="23" style="114" customWidth="1"/>
    <col min="8" max="8" width="72.025" style="113" customWidth="1"/>
    <col min="9" max="9" width="8.275" style="223" customWidth="1"/>
    <col min="10" max="10" width="6.86666666666667" style="224" customWidth="1"/>
    <col min="11" max="16384" width="9" style="113"/>
  </cols>
  <sheetData>
    <row r="1" ht="18" customHeight="1" spans="1:1">
      <c r="A1" s="185" t="s">
        <v>306</v>
      </c>
    </row>
    <row r="2" ht="20.25" spans="1:8">
      <c r="A2" s="120" t="s">
        <v>307</v>
      </c>
      <c r="B2" s="120"/>
      <c r="C2" s="120"/>
      <c r="D2" s="120"/>
      <c r="E2" s="120"/>
      <c r="F2" s="120"/>
      <c r="G2" s="120"/>
      <c r="H2" s="120"/>
    </row>
    <row r="3" ht="32" customHeight="1" spans="1:10">
      <c r="A3" s="121" t="s">
        <v>81</v>
      </c>
      <c r="B3" s="121" t="s">
        <v>82</v>
      </c>
      <c r="C3" s="121" t="s">
        <v>83</v>
      </c>
      <c r="D3" s="121" t="s">
        <v>84</v>
      </c>
      <c r="E3" s="186" t="s">
        <v>85</v>
      </c>
      <c r="F3" s="121" t="s">
        <v>86</v>
      </c>
      <c r="G3" s="121" t="s">
        <v>87</v>
      </c>
      <c r="H3" s="121" t="s">
        <v>88</v>
      </c>
      <c r="I3" s="226" t="s">
        <v>13</v>
      </c>
      <c r="J3" s="227" t="s">
        <v>89</v>
      </c>
    </row>
    <row r="4" ht="169" customHeight="1" spans="1:10">
      <c r="A4" s="123" t="s">
        <v>308</v>
      </c>
      <c r="B4" s="123" t="s">
        <v>91</v>
      </c>
      <c r="C4" s="123" t="s">
        <v>92</v>
      </c>
      <c r="D4" s="123" t="str">
        <f>C4</f>
        <v>立项依据
充分性</v>
      </c>
      <c r="E4" s="124">
        <v>2</v>
      </c>
      <c r="F4" s="125" t="s">
        <v>93</v>
      </c>
      <c r="G4" s="123" t="s">
        <v>94</v>
      </c>
      <c r="H4" s="126" t="s">
        <v>309</v>
      </c>
      <c r="I4" s="228">
        <f>E4</f>
        <v>2</v>
      </c>
      <c r="J4" s="229">
        <f>I4/E4</f>
        <v>1</v>
      </c>
    </row>
    <row r="5" ht="59" customHeight="1" spans="1:10">
      <c r="A5" s="123"/>
      <c r="B5" s="123"/>
      <c r="C5" s="123" t="s">
        <v>96</v>
      </c>
      <c r="D5" s="123" t="str">
        <f t="shared" ref="D5:D16" si="0">C5</f>
        <v>立项程序
规范性</v>
      </c>
      <c r="E5" s="124">
        <v>3</v>
      </c>
      <c r="F5" s="125" t="s">
        <v>97</v>
      </c>
      <c r="G5" s="123" t="s">
        <v>98</v>
      </c>
      <c r="H5" s="126" t="s">
        <v>99</v>
      </c>
      <c r="I5" s="228">
        <f t="shared" ref="I5:I27" si="1">E5</f>
        <v>3</v>
      </c>
      <c r="J5" s="229">
        <f t="shared" ref="J5:J27" si="2">I5/E5</f>
        <v>1</v>
      </c>
    </row>
    <row r="6" ht="72" customHeight="1" spans="1:10">
      <c r="A6" s="123"/>
      <c r="B6" s="123" t="s">
        <v>100</v>
      </c>
      <c r="C6" s="123" t="s">
        <v>101</v>
      </c>
      <c r="D6" s="123" t="str">
        <f t="shared" si="0"/>
        <v>绩效目标
合理性</v>
      </c>
      <c r="E6" s="124">
        <v>3</v>
      </c>
      <c r="F6" s="125" t="s">
        <v>102</v>
      </c>
      <c r="G6" s="123" t="s">
        <v>103</v>
      </c>
      <c r="H6" s="126" t="s">
        <v>104</v>
      </c>
      <c r="I6" s="228">
        <f t="shared" si="1"/>
        <v>3</v>
      </c>
      <c r="J6" s="229">
        <f t="shared" si="2"/>
        <v>1</v>
      </c>
    </row>
    <row r="7" ht="74" customHeight="1" spans="1:10">
      <c r="A7" s="123"/>
      <c r="B7" s="123"/>
      <c r="C7" s="123" t="s">
        <v>106</v>
      </c>
      <c r="D7" s="123" t="str">
        <f t="shared" si="0"/>
        <v>绩效指标
明确性</v>
      </c>
      <c r="E7" s="124">
        <v>3</v>
      </c>
      <c r="F7" s="125" t="s">
        <v>107</v>
      </c>
      <c r="G7" s="123" t="s">
        <v>108</v>
      </c>
      <c r="H7" s="126" t="s">
        <v>310</v>
      </c>
      <c r="I7" s="228">
        <f t="shared" si="1"/>
        <v>3</v>
      </c>
      <c r="J7" s="229">
        <f t="shared" si="2"/>
        <v>1</v>
      </c>
    </row>
    <row r="8" ht="50" customHeight="1" spans="1:10">
      <c r="A8" s="123"/>
      <c r="B8" s="123" t="s">
        <v>311</v>
      </c>
      <c r="C8" s="123" t="s">
        <v>111</v>
      </c>
      <c r="D8" s="123" t="str">
        <f t="shared" si="0"/>
        <v>财政资金扶持占比</v>
      </c>
      <c r="E8" s="124">
        <v>2</v>
      </c>
      <c r="F8" s="125" t="s">
        <v>112</v>
      </c>
      <c r="G8" s="123" t="s">
        <v>113</v>
      </c>
      <c r="H8" s="126" t="s">
        <v>114</v>
      </c>
      <c r="I8" s="228">
        <f t="shared" si="1"/>
        <v>2</v>
      </c>
      <c r="J8" s="229">
        <f t="shared" si="2"/>
        <v>1</v>
      </c>
    </row>
    <row r="9" ht="56" customHeight="1" spans="1:10">
      <c r="A9" s="123"/>
      <c r="B9" s="123"/>
      <c r="C9" s="123" t="s">
        <v>115</v>
      </c>
      <c r="D9" s="123" t="str">
        <f t="shared" si="0"/>
        <v>资金分配
合理性</v>
      </c>
      <c r="E9" s="124">
        <v>3</v>
      </c>
      <c r="F9" s="125" t="s">
        <v>116</v>
      </c>
      <c r="G9" s="123" t="s">
        <v>103</v>
      </c>
      <c r="H9" s="126" t="s">
        <v>117</v>
      </c>
      <c r="I9" s="228">
        <f t="shared" si="1"/>
        <v>3</v>
      </c>
      <c r="J9" s="229">
        <f t="shared" si="2"/>
        <v>1</v>
      </c>
    </row>
    <row r="10" ht="39" customHeight="1" spans="1:10">
      <c r="A10" s="123" t="s">
        <v>312</v>
      </c>
      <c r="B10" s="123" t="s">
        <v>313</v>
      </c>
      <c r="C10" s="123" t="s">
        <v>121</v>
      </c>
      <c r="D10" s="123" t="str">
        <f t="shared" si="0"/>
        <v>配套资金到位率</v>
      </c>
      <c r="E10" s="124">
        <v>2</v>
      </c>
      <c r="F10" s="125" t="s">
        <v>122</v>
      </c>
      <c r="G10" s="127">
        <v>1</v>
      </c>
      <c r="H10" s="126" t="s">
        <v>123</v>
      </c>
      <c r="I10" s="228">
        <f t="shared" si="1"/>
        <v>2</v>
      </c>
      <c r="J10" s="229">
        <f t="shared" si="2"/>
        <v>1</v>
      </c>
    </row>
    <row r="11" ht="50" customHeight="1" spans="1:11">
      <c r="A11" s="123"/>
      <c r="B11" s="123"/>
      <c r="C11" s="123" t="s">
        <v>124</v>
      </c>
      <c r="D11" s="123" t="str">
        <f t="shared" si="0"/>
        <v>预算执行率</v>
      </c>
      <c r="E11" s="124">
        <v>3</v>
      </c>
      <c r="F11" s="125" t="s">
        <v>314</v>
      </c>
      <c r="G11" s="127">
        <v>1</v>
      </c>
      <c r="H11" s="125" t="s">
        <v>126</v>
      </c>
      <c r="I11" s="228"/>
      <c r="J11" s="229">
        <f t="shared" si="2"/>
        <v>0</v>
      </c>
      <c r="K11" s="113" t="s">
        <v>315</v>
      </c>
    </row>
    <row r="12" ht="31" customHeight="1" spans="1:11">
      <c r="A12" s="123"/>
      <c r="B12" s="123"/>
      <c r="C12" s="128" t="s">
        <v>128</v>
      </c>
      <c r="D12" s="123" t="s">
        <v>129</v>
      </c>
      <c r="E12" s="124">
        <v>2</v>
      </c>
      <c r="F12" s="125" t="s">
        <v>130</v>
      </c>
      <c r="G12" s="127" t="s">
        <v>316</v>
      </c>
      <c r="H12" s="125" t="s">
        <v>317</v>
      </c>
      <c r="I12" s="228">
        <v>2</v>
      </c>
      <c r="J12" s="229">
        <f t="shared" si="2"/>
        <v>1</v>
      </c>
      <c r="K12" s="113" t="s">
        <v>318</v>
      </c>
    </row>
    <row r="13" ht="51" customHeight="1" spans="1:11">
      <c r="A13" s="123"/>
      <c r="B13" s="123"/>
      <c r="C13" s="129"/>
      <c r="D13" s="123" t="s">
        <v>133</v>
      </c>
      <c r="E13" s="124">
        <v>1</v>
      </c>
      <c r="F13" s="125" t="s">
        <v>134</v>
      </c>
      <c r="G13" s="127" t="s">
        <v>135</v>
      </c>
      <c r="H13" s="125" t="s">
        <v>136</v>
      </c>
      <c r="I13" s="228">
        <v>0</v>
      </c>
      <c r="J13" s="229">
        <f t="shared" si="2"/>
        <v>0</v>
      </c>
      <c r="K13" s="113" t="s">
        <v>137</v>
      </c>
    </row>
    <row r="14" ht="52" customHeight="1" spans="1:10">
      <c r="A14" s="123"/>
      <c r="B14" s="123"/>
      <c r="C14" s="129"/>
      <c r="D14" s="123" t="s">
        <v>138</v>
      </c>
      <c r="E14" s="124">
        <v>3</v>
      </c>
      <c r="F14" s="125" t="s">
        <v>139</v>
      </c>
      <c r="G14" s="127" t="s">
        <v>140</v>
      </c>
      <c r="H14" s="125" t="s">
        <v>141</v>
      </c>
      <c r="I14" s="228">
        <f t="shared" si="1"/>
        <v>3</v>
      </c>
      <c r="J14" s="229">
        <f t="shared" si="2"/>
        <v>1</v>
      </c>
    </row>
    <row r="15" ht="45.6" customHeight="1" spans="1:11">
      <c r="A15" s="123"/>
      <c r="B15" s="123"/>
      <c r="C15" s="129"/>
      <c r="D15" s="123" t="s">
        <v>143</v>
      </c>
      <c r="E15" s="124">
        <v>4</v>
      </c>
      <c r="F15" s="125" t="s">
        <v>144</v>
      </c>
      <c r="G15" s="127" t="s">
        <v>145</v>
      </c>
      <c r="H15" s="125" t="s">
        <v>319</v>
      </c>
      <c r="I15" s="228">
        <v>2.5</v>
      </c>
      <c r="J15" s="229">
        <f t="shared" si="2"/>
        <v>0.625</v>
      </c>
      <c r="K15" s="113" t="s">
        <v>320</v>
      </c>
    </row>
    <row r="16" ht="89" customHeight="1" spans="1:10">
      <c r="A16" s="123"/>
      <c r="B16" s="123" t="s">
        <v>148</v>
      </c>
      <c r="C16" s="123" t="s">
        <v>149</v>
      </c>
      <c r="D16" s="123" t="str">
        <f t="shared" si="0"/>
        <v>管理制度
健全性</v>
      </c>
      <c r="E16" s="124">
        <v>2</v>
      </c>
      <c r="F16" s="125" t="s">
        <v>150</v>
      </c>
      <c r="G16" s="123" t="s">
        <v>151</v>
      </c>
      <c r="H16" s="126" t="s">
        <v>152</v>
      </c>
      <c r="I16" s="228">
        <f t="shared" si="1"/>
        <v>2</v>
      </c>
      <c r="J16" s="229">
        <f t="shared" si="2"/>
        <v>1</v>
      </c>
    </row>
    <row r="17" ht="36" customHeight="1" spans="1:10">
      <c r="A17" s="123"/>
      <c r="B17" s="123"/>
      <c r="C17" s="123" t="s">
        <v>153</v>
      </c>
      <c r="D17" s="123" t="s">
        <v>154</v>
      </c>
      <c r="E17" s="124">
        <v>3</v>
      </c>
      <c r="F17" s="125" t="s">
        <v>155</v>
      </c>
      <c r="G17" s="123" t="s">
        <v>156</v>
      </c>
      <c r="H17" s="126" t="s">
        <v>157</v>
      </c>
      <c r="I17" s="228">
        <v>2.5</v>
      </c>
      <c r="J17" s="229">
        <f t="shared" si="2"/>
        <v>0.833333333333333</v>
      </c>
    </row>
    <row r="18" ht="41" customHeight="1" spans="1:10">
      <c r="A18" s="123"/>
      <c r="B18" s="123"/>
      <c r="C18" s="123"/>
      <c r="D18" s="123" t="s">
        <v>159</v>
      </c>
      <c r="E18" s="124">
        <v>2</v>
      </c>
      <c r="F18" s="125" t="s">
        <v>160</v>
      </c>
      <c r="G18" s="123" t="s">
        <v>161</v>
      </c>
      <c r="H18" s="126" t="s">
        <v>162</v>
      </c>
      <c r="I18" s="228">
        <f t="shared" si="1"/>
        <v>2</v>
      </c>
      <c r="J18" s="229">
        <f t="shared" si="2"/>
        <v>1</v>
      </c>
    </row>
    <row r="19" ht="33" customHeight="1" spans="1:10">
      <c r="A19" s="123"/>
      <c r="B19" s="123"/>
      <c r="C19" s="123"/>
      <c r="D19" s="123" t="s">
        <v>163</v>
      </c>
      <c r="E19" s="124">
        <v>2</v>
      </c>
      <c r="F19" s="125" t="s">
        <v>164</v>
      </c>
      <c r="G19" s="123" t="s">
        <v>165</v>
      </c>
      <c r="H19" s="126" t="s">
        <v>166</v>
      </c>
      <c r="I19" s="228">
        <f t="shared" si="1"/>
        <v>2</v>
      </c>
      <c r="J19" s="229">
        <f t="shared" si="2"/>
        <v>1</v>
      </c>
    </row>
    <row r="20" ht="33" customHeight="1" spans="1:10">
      <c r="A20" s="128" t="s">
        <v>321</v>
      </c>
      <c r="B20" s="128" t="s">
        <v>8</v>
      </c>
      <c r="C20" s="128" t="s">
        <v>8</v>
      </c>
      <c r="D20" s="128" t="s">
        <v>8</v>
      </c>
      <c r="E20" s="187">
        <v>50</v>
      </c>
      <c r="F20" s="131" t="s">
        <v>322</v>
      </c>
      <c r="G20" s="132"/>
      <c r="H20" s="133"/>
      <c r="I20" s="230">
        <v>43.18</v>
      </c>
      <c r="J20" s="231">
        <f t="shared" si="2"/>
        <v>0.8636</v>
      </c>
    </row>
    <row r="21" ht="33" customHeight="1" spans="1:10">
      <c r="A21" s="129"/>
      <c r="B21" s="128" t="s">
        <v>9</v>
      </c>
      <c r="C21" s="128" t="s">
        <v>9</v>
      </c>
      <c r="D21" s="128" t="s">
        <v>9</v>
      </c>
      <c r="E21" s="188"/>
      <c r="F21" s="131" t="s">
        <v>322</v>
      </c>
      <c r="G21" s="132"/>
      <c r="H21" s="133"/>
      <c r="I21" s="230"/>
      <c r="J21" s="231"/>
    </row>
    <row r="22" ht="32.4" customHeight="1" spans="1:10">
      <c r="A22" s="129"/>
      <c r="B22" s="128" t="s">
        <v>169</v>
      </c>
      <c r="C22" s="123" t="s">
        <v>170</v>
      </c>
      <c r="D22" s="135" t="s">
        <v>171</v>
      </c>
      <c r="E22" s="225">
        <v>2</v>
      </c>
      <c r="F22" s="137" t="s">
        <v>323</v>
      </c>
      <c r="G22" s="127" t="s">
        <v>173</v>
      </c>
      <c r="H22" s="125" t="s">
        <v>324</v>
      </c>
      <c r="I22" s="228">
        <f t="shared" si="1"/>
        <v>2</v>
      </c>
      <c r="J22" s="229">
        <f t="shared" si="2"/>
        <v>1</v>
      </c>
    </row>
    <row r="23" ht="55" customHeight="1" spans="1:10">
      <c r="A23" s="129"/>
      <c r="B23" s="129"/>
      <c r="C23" s="191" t="s">
        <v>175</v>
      </c>
      <c r="D23" s="135" t="s">
        <v>325</v>
      </c>
      <c r="E23" s="225">
        <v>1</v>
      </c>
      <c r="F23" s="137" t="s">
        <v>326</v>
      </c>
      <c r="G23" s="127">
        <v>1</v>
      </c>
      <c r="H23" s="125" t="s">
        <v>178</v>
      </c>
      <c r="I23" s="228">
        <f t="shared" si="1"/>
        <v>1</v>
      </c>
      <c r="J23" s="229">
        <f t="shared" si="2"/>
        <v>1</v>
      </c>
    </row>
    <row r="24" ht="55" customHeight="1" spans="1:10">
      <c r="A24" s="129"/>
      <c r="B24" s="129"/>
      <c r="C24" s="191" t="s">
        <v>175</v>
      </c>
      <c r="D24" s="135" t="s">
        <v>327</v>
      </c>
      <c r="E24" s="225">
        <v>1</v>
      </c>
      <c r="F24" s="137" t="s">
        <v>328</v>
      </c>
      <c r="G24" s="127" t="s">
        <v>329</v>
      </c>
      <c r="H24" s="138" t="s">
        <v>330</v>
      </c>
      <c r="I24" s="228">
        <f t="shared" si="1"/>
        <v>1</v>
      </c>
      <c r="J24" s="229">
        <f t="shared" si="2"/>
        <v>1</v>
      </c>
    </row>
    <row r="25" ht="59" customHeight="1" spans="1:10">
      <c r="A25" s="129"/>
      <c r="B25" s="129"/>
      <c r="C25" s="191" t="s">
        <v>175</v>
      </c>
      <c r="D25" s="135" t="s">
        <v>331</v>
      </c>
      <c r="E25" s="225">
        <v>2</v>
      </c>
      <c r="F25" s="137" t="s">
        <v>332</v>
      </c>
      <c r="G25" s="127">
        <v>1</v>
      </c>
      <c r="H25" s="125" t="s">
        <v>178</v>
      </c>
      <c r="I25" s="228">
        <f t="shared" si="1"/>
        <v>2</v>
      </c>
      <c r="J25" s="229">
        <f t="shared" si="2"/>
        <v>1</v>
      </c>
    </row>
    <row r="26" ht="51" customHeight="1" spans="1:10">
      <c r="A26" s="129"/>
      <c r="B26" s="129"/>
      <c r="C26" s="191" t="s">
        <v>175</v>
      </c>
      <c r="D26" s="135" t="s">
        <v>333</v>
      </c>
      <c r="E26" s="225">
        <v>2</v>
      </c>
      <c r="F26" s="137" t="s">
        <v>334</v>
      </c>
      <c r="G26" s="127">
        <v>1</v>
      </c>
      <c r="H26" s="125" t="s">
        <v>178</v>
      </c>
      <c r="I26" s="228">
        <f t="shared" si="1"/>
        <v>2</v>
      </c>
      <c r="J26" s="229">
        <f t="shared" si="2"/>
        <v>1</v>
      </c>
    </row>
    <row r="27" ht="56" customHeight="1" spans="1:11">
      <c r="A27" s="139"/>
      <c r="B27" s="139"/>
      <c r="C27" s="191" t="s">
        <v>175</v>
      </c>
      <c r="D27" s="135" t="s">
        <v>335</v>
      </c>
      <c r="E27" s="225">
        <v>2</v>
      </c>
      <c r="F27" s="137" t="s">
        <v>336</v>
      </c>
      <c r="G27" s="127">
        <v>1</v>
      </c>
      <c r="H27" s="125" t="s">
        <v>178</v>
      </c>
      <c r="I27" s="228">
        <f t="shared" si="1"/>
        <v>2</v>
      </c>
      <c r="J27" s="229">
        <f t="shared" si="2"/>
        <v>1</v>
      </c>
      <c r="K27" s="113" t="s">
        <v>337</v>
      </c>
    </row>
    <row r="28" ht="25.5" customHeight="1" spans="1:10">
      <c r="A28" s="140" t="s">
        <v>20</v>
      </c>
      <c r="B28" s="140"/>
      <c r="C28" s="140"/>
      <c r="D28" s="140"/>
      <c r="E28" s="193">
        <f>SUM(E4:E27)</f>
        <v>100</v>
      </c>
      <c r="F28" s="142"/>
      <c r="G28" s="140"/>
      <c r="H28" s="140"/>
      <c r="I28" s="226">
        <f>SUM(I4:I27)</f>
        <v>87.18</v>
      </c>
      <c r="J28" s="227"/>
    </row>
  </sheetData>
  <mergeCells count="18">
    <mergeCell ref="A2:H2"/>
    <mergeCell ref="F20:H20"/>
    <mergeCell ref="F21:H21"/>
    <mergeCell ref="A28:D28"/>
    <mergeCell ref="A4:A9"/>
    <mergeCell ref="A10:A19"/>
    <mergeCell ref="A20:A27"/>
    <mergeCell ref="B4:B5"/>
    <mergeCell ref="B6:B7"/>
    <mergeCell ref="B8:B9"/>
    <mergeCell ref="B10:B15"/>
    <mergeCell ref="B16:B19"/>
    <mergeCell ref="B22:B27"/>
    <mergeCell ref="C12:C15"/>
    <mergeCell ref="C17:C19"/>
    <mergeCell ref="E20:E21"/>
    <mergeCell ref="I20:I21"/>
    <mergeCell ref="J20:J21"/>
  </mergeCells>
  <printOptions horizontalCentered="1"/>
  <pageMargins left="0.393055555555556" right="0.393055555555556" top="0.354166666666667" bottom="0.354166666666667" header="0.314583333333333" footer="0.118055555555556"/>
  <pageSetup paperSize="9" scale="53"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8"/>
  <sheetViews>
    <sheetView view="pageBreakPreview" zoomScale="85" zoomScaleNormal="100" workbookViewId="0">
      <pane xSplit="6" ySplit="3" topLeftCell="I4" activePane="bottomRight" state="frozenSplit"/>
      <selection/>
      <selection pane="topRight"/>
      <selection pane="bottomLeft"/>
      <selection pane="bottomRight" activeCell="C3" sqref="C3"/>
    </sheetView>
  </sheetViews>
  <sheetFormatPr defaultColWidth="9" defaultRowHeight="13.5"/>
  <cols>
    <col min="1" max="1" width="8.7" style="80" customWidth="1"/>
    <col min="2" max="2" width="21.7666666666667" style="78" customWidth="1"/>
    <col min="3" max="3" width="11.4583333333333" style="78" customWidth="1"/>
    <col min="4" max="4" width="16" style="78" customWidth="1"/>
    <col min="5" max="5" width="37.2" style="78" customWidth="1"/>
    <col min="6" max="6" width="14" style="157" customWidth="1"/>
    <col min="7" max="7" width="45.6" style="79" customWidth="1"/>
    <col min="8" max="8" width="15.9" style="78" customWidth="1"/>
    <col min="9" max="9" width="60.3" style="80" customWidth="1"/>
    <col min="10" max="10" width="12.7" style="80" customWidth="1"/>
    <col min="11" max="11" width="8.4" style="80" customWidth="1"/>
    <col min="12" max="16384" width="9" style="80"/>
  </cols>
  <sheetData>
    <row r="1" spans="1:1">
      <c r="A1" s="148" t="s">
        <v>338</v>
      </c>
    </row>
    <row r="2" ht="42.75" customHeight="1" spans="1:9">
      <c r="A2" s="82" t="s">
        <v>339</v>
      </c>
      <c r="B2" s="82"/>
      <c r="C2" s="82"/>
      <c r="D2" s="82"/>
      <c r="E2" s="82"/>
      <c r="F2" s="82"/>
      <c r="G2" s="82"/>
      <c r="H2" s="82"/>
      <c r="I2" s="82"/>
    </row>
    <row r="3" ht="48" customHeight="1" spans="1:11">
      <c r="A3" s="83" t="s">
        <v>81</v>
      </c>
      <c r="B3" s="83" t="s">
        <v>185</v>
      </c>
      <c r="C3" s="83" t="s">
        <v>186</v>
      </c>
      <c r="D3" s="83" t="s">
        <v>82</v>
      </c>
      <c r="E3" s="83" t="s">
        <v>83</v>
      </c>
      <c r="F3" s="158" t="s">
        <v>85</v>
      </c>
      <c r="G3" s="83" t="s">
        <v>86</v>
      </c>
      <c r="H3" s="83" t="s">
        <v>87</v>
      </c>
      <c r="I3" s="83" t="s">
        <v>88</v>
      </c>
      <c r="J3" s="110" t="s">
        <v>13</v>
      </c>
      <c r="K3" s="110" t="s">
        <v>89</v>
      </c>
    </row>
    <row r="4" s="206" customFormat="1" ht="35.4" customHeight="1" spans="1:11">
      <c r="A4" s="159">
        <v>1</v>
      </c>
      <c r="B4" s="93" t="s">
        <v>340</v>
      </c>
      <c r="C4" s="207">
        <f>[2]Sheet2!E10</f>
        <v>1755</v>
      </c>
      <c r="D4" s="60" t="s">
        <v>188</v>
      </c>
      <c r="E4" s="60" t="s">
        <v>341</v>
      </c>
      <c r="F4" s="163">
        <v>3</v>
      </c>
      <c r="G4" s="64" t="s">
        <v>342</v>
      </c>
      <c r="H4" s="60" t="s">
        <v>343</v>
      </c>
      <c r="I4" s="64" t="s">
        <v>344</v>
      </c>
      <c r="J4" s="218">
        <v>3</v>
      </c>
      <c r="K4" s="175">
        <v>1</v>
      </c>
    </row>
    <row r="5" s="206" customFormat="1" ht="35.4" customHeight="1" spans="1:11">
      <c r="A5" s="159"/>
      <c r="B5" s="96"/>
      <c r="C5" s="207"/>
      <c r="D5" s="60" t="s">
        <v>188</v>
      </c>
      <c r="E5" s="60" t="s">
        <v>345</v>
      </c>
      <c r="F5" s="163">
        <v>3</v>
      </c>
      <c r="G5" s="64" t="s">
        <v>346</v>
      </c>
      <c r="H5" s="60" t="s">
        <v>347</v>
      </c>
      <c r="I5" s="64" t="s">
        <v>348</v>
      </c>
      <c r="J5" s="218">
        <v>3</v>
      </c>
      <c r="K5" s="175">
        <v>1</v>
      </c>
    </row>
    <row r="6" s="206" customFormat="1" ht="35.4" customHeight="1" spans="1:11">
      <c r="A6" s="159"/>
      <c r="B6" s="96"/>
      <c r="C6" s="207"/>
      <c r="D6" s="60" t="s">
        <v>188</v>
      </c>
      <c r="E6" s="60" t="s">
        <v>349</v>
      </c>
      <c r="F6" s="163">
        <v>3</v>
      </c>
      <c r="G6" s="64" t="s">
        <v>350</v>
      </c>
      <c r="H6" s="60" t="s">
        <v>351</v>
      </c>
      <c r="I6" s="64" t="s">
        <v>352</v>
      </c>
      <c r="J6" s="218">
        <v>3</v>
      </c>
      <c r="K6" s="175">
        <v>1</v>
      </c>
    </row>
    <row r="7" s="206" customFormat="1" ht="35.4" customHeight="1" spans="1:11">
      <c r="A7" s="159"/>
      <c r="B7" s="96"/>
      <c r="C7" s="207"/>
      <c r="D7" s="60" t="s">
        <v>188</v>
      </c>
      <c r="E7" s="60" t="s">
        <v>353</v>
      </c>
      <c r="F7" s="163">
        <v>3</v>
      </c>
      <c r="G7" s="64" t="s">
        <v>354</v>
      </c>
      <c r="H7" s="60" t="s">
        <v>355</v>
      </c>
      <c r="I7" s="64" t="s">
        <v>356</v>
      </c>
      <c r="J7" s="218">
        <v>3</v>
      </c>
      <c r="K7" s="175">
        <v>1</v>
      </c>
    </row>
    <row r="8" s="206" customFormat="1" ht="49.05" customHeight="1" spans="1:11">
      <c r="A8" s="159"/>
      <c r="B8" s="96"/>
      <c r="C8" s="207"/>
      <c r="D8" s="60" t="s">
        <v>188</v>
      </c>
      <c r="E8" s="60" t="s">
        <v>357</v>
      </c>
      <c r="F8" s="163">
        <v>3</v>
      </c>
      <c r="G8" s="64" t="s">
        <v>358</v>
      </c>
      <c r="H8" s="208">
        <v>1</v>
      </c>
      <c r="I8" s="64" t="s">
        <v>359</v>
      </c>
      <c r="J8" s="218">
        <v>3</v>
      </c>
      <c r="K8" s="175">
        <v>1</v>
      </c>
    </row>
    <row r="9" s="206" customFormat="1" ht="49.05" customHeight="1" spans="1:12">
      <c r="A9" s="159"/>
      <c r="B9" s="96"/>
      <c r="C9" s="207"/>
      <c r="D9" s="60" t="s">
        <v>188</v>
      </c>
      <c r="E9" s="60" t="s">
        <v>360</v>
      </c>
      <c r="F9" s="163">
        <v>3</v>
      </c>
      <c r="G9" s="64" t="s">
        <v>361</v>
      </c>
      <c r="H9" s="208" t="s">
        <v>362</v>
      </c>
      <c r="I9" s="64" t="s">
        <v>363</v>
      </c>
      <c r="J9" s="218">
        <v>2.25</v>
      </c>
      <c r="K9" s="175">
        <v>0.75</v>
      </c>
      <c r="L9" s="206" t="s">
        <v>364</v>
      </c>
    </row>
    <row r="10" s="206" customFormat="1" ht="49.05" customHeight="1" spans="1:11">
      <c r="A10" s="159"/>
      <c r="B10" s="96"/>
      <c r="C10" s="207"/>
      <c r="D10" s="60" t="s">
        <v>175</v>
      </c>
      <c r="E10" s="60" t="s">
        <v>365</v>
      </c>
      <c r="F10" s="163">
        <v>5</v>
      </c>
      <c r="G10" s="64" t="s">
        <v>366</v>
      </c>
      <c r="H10" s="60" t="s">
        <v>367</v>
      </c>
      <c r="I10" s="64" t="s">
        <v>368</v>
      </c>
      <c r="J10" s="218">
        <v>5</v>
      </c>
      <c r="K10" s="175">
        <v>1</v>
      </c>
    </row>
    <row r="11" s="206" customFormat="1" ht="49.05" customHeight="1" spans="1:11">
      <c r="A11" s="159"/>
      <c r="B11" s="96"/>
      <c r="C11" s="207"/>
      <c r="D11" s="60" t="s">
        <v>175</v>
      </c>
      <c r="E11" s="60" t="s">
        <v>369</v>
      </c>
      <c r="F11" s="163">
        <v>5</v>
      </c>
      <c r="G11" s="64" t="s">
        <v>370</v>
      </c>
      <c r="H11" s="60" t="s">
        <v>371</v>
      </c>
      <c r="I11" s="64" t="s">
        <v>372</v>
      </c>
      <c r="J11" s="218">
        <v>5</v>
      </c>
      <c r="K11" s="175">
        <v>1</v>
      </c>
    </row>
    <row r="12" s="206" customFormat="1" ht="49.05" customHeight="1" spans="1:11">
      <c r="A12" s="159"/>
      <c r="B12" s="96"/>
      <c r="C12" s="207"/>
      <c r="D12" s="60" t="s">
        <v>175</v>
      </c>
      <c r="E12" s="60" t="s">
        <v>373</v>
      </c>
      <c r="F12" s="163">
        <v>5</v>
      </c>
      <c r="G12" s="64" t="s">
        <v>374</v>
      </c>
      <c r="H12" s="60" t="s">
        <v>375</v>
      </c>
      <c r="I12" s="173" t="s">
        <v>376</v>
      </c>
      <c r="J12" s="218">
        <v>5</v>
      </c>
      <c r="K12" s="175">
        <v>1</v>
      </c>
    </row>
    <row r="13" s="206" customFormat="1" ht="35.4" customHeight="1" spans="1:12">
      <c r="A13" s="159"/>
      <c r="B13" s="96"/>
      <c r="C13" s="207"/>
      <c r="D13" s="209" t="s">
        <v>170</v>
      </c>
      <c r="E13" s="60" t="s">
        <v>377</v>
      </c>
      <c r="F13" s="163">
        <v>6</v>
      </c>
      <c r="G13" s="210" t="s">
        <v>378</v>
      </c>
      <c r="H13" s="60" t="s">
        <v>379</v>
      </c>
      <c r="I13" s="173" t="s">
        <v>380</v>
      </c>
      <c r="J13" s="218">
        <v>5.37</v>
      </c>
      <c r="K13" s="175">
        <v>0.895</v>
      </c>
      <c r="L13" s="206" t="s">
        <v>381</v>
      </c>
    </row>
    <row r="14" s="206" customFormat="1" ht="35.4" customHeight="1" spans="1:11">
      <c r="A14" s="159"/>
      <c r="B14" s="96"/>
      <c r="C14" s="207"/>
      <c r="D14" s="209" t="s">
        <v>170</v>
      </c>
      <c r="E14" s="209" t="s">
        <v>382</v>
      </c>
      <c r="F14" s="161">
        <v>6</v>
      </c>
      <c r="G14" s="64" t="s">
        <v>383</v>
      </c>
      <c r="H14" s="209" t="s">
        <v>384</v>
      </c>
      <c r="I14" s="177" t="s">
        <v>385</v>
      </c>
      <c r="J14" s="218">
        <v>6</v>
      </c>
      <c r="K14" s="175">
        <v>1</v>
      </c>
    </row>
    <row r="15" s="206" customFormat="1" ht="35.4" customHeight="1" spans="1:11">
      <c r="A15" s="159"/>
      <c r="B15" s="101"/>
      <c r="C15" s="207"/>
      <c r="D15" s="60" t="s">
        <v>170</v>
      </c>
      <c r="E15" s="60" t="s">
        <v>386</v>
      </c>
      <c r="F15" s="163">
        <v>5</v>
      </c>
      <c r="G15" s="210" t="s">
        <v>387</v>
      </c>
      <c r="H15" s="60" t="s">
        <v>388</v>
      </c>
      <c r="I15" s="64" t="s">
        <v>389</v>
      </c>
      <c r="J15" s="218">
        <v>5</v>
      </c>
      <c r="K15" s="175">
        <v>1</v>
      </c>
    </row>
    <row r="16" ht="25.2" customHeight="1" spans="1:12">
      <c r="A16" s="159" t="s">
        <v>211</v>
      </c>
      <c r="B16" s="85" t="s">
        <v>390</v>
      </c>
      <c r="C16" s="86">
        <f>[2]Sheet2!E18</f>
        <v>1080</v>
      </c>
      <c r="D16" s="95" t="s">
        <v>188</v>
      </c>
      <c r="E16" s="95" t="s">
        <v>391</v>
      </c>
      <c r="F16" s="211">
        <v>5</v>
      </c>
      <c r="G16" s="99" t="s">
        <v>392</v>
      </c>
      <c r="H16" s="212" t="s">
        <v>393</v>
      </c>
      <c r="I16" s="99" t="s">
        <v>394</v>
      </c>
      <c r="J16" s="219">
        <v>1.25</v>
      </c>
      <c r="K16" s="111">
        <v>0.25</v>
      </c>
      <c r="L16" s="80" t="s">
        <v>395</v>
      </c>
    </row>
    <row r="17" ht="25.2" customHeight="1" spans="1:12">
      <c r="A17" s="159"/>
      <c r="B17" s="91"/>
      <c r="C17" s="213"/>
      <c r="D17" s="95" t="s">
        <v>188</v>
      </c>
      <c r="E17" s="95" t="s">
        <v>396</v>
      </c>
      <c r="F17" s="211">
        <v>5</v>
      </c>
      <c r="G17" s="99" t="s">
        <v>397</v>
      </c>
      <c r="H17" s="212" t="s">
        <v>398</v>
      </c>
      <c r="I17" s="99" t="s">
        <v>399</v>
      </c>
      <c r="J17" s="219">
        <v>3.5</v>
      </c>
      <c r="K17" s="111">
        <v>0.7</v>
      </c>
      <c r="L17" s="80" t="s">
        <v>400</v>
      </c>
    </row>
    <row r="18" ht="25.2" customHeight="1" spans="1:13">
      <c r="A18" s="159"/>
      <c r="B18" s="91"/>
      <c r="C18" s="213"/>
      <c r="D18" s="95" t="s">
        <v>188</v>
      </c>
      <c r="E18" s="95" t="s">
        <v>401</v>
      </c>
      <c r="F18" s="211">
        <v>10</v>
      </c>
      <c r="G18" s="99" t="s">
        <v>402</v>
      </c>
      <c r="H18" s="212" t="s">
        <v>403</v>
      </c>
      <c r="I18" s="99" t="s">
        <v>404</v>
      </c>
      <c r="J18" s="219">
        <v>10</v>
      </c>
      <c r="K18" s="111">
        <v>1</v>
      </c>
      <c r="M18" s="220"/>
    </row>
    <row r="19" ht="25.2" customHeight="1" spans="1:13">
      <c r="A19" s="159"/>
      <c r="B19" s="91"/>
      <c r="C19" s="91"/>
      <c r="D19" s="59" t="s">
        <v>170</v>
      </c>
      <c r="E19" s="59" t="s">
        <v>405</v>
      </c>
      <c r="F19" s="171">
        <v>3</v>
      </c>
      <c r="G19" s="88" t="s">
        <v>406</v>
      </c>
      <c r="H19" s="59" t="s">
        <v>407</v>
      </c>
      <c r="I19" s="90" t="s">
        <v>408</v>
      </c>
      <c r="J19" s="219">
        <v>0</v>
      </c>
      <c r="K19" s="111">
        <v>0</v>
      </c>
      <c r="L19" s="80" t="s">
        <v>409</v>
      </c>
      <c r="M19" s="220">
        <f>SUM(J16:J22)</f>
        <v>41.25</v>
      </c>
    </row>
    <row r="20" ht="40.5" spans="1:12">
      <c r="A20" s="159"/>
      <c r="B20" s="91"/>
      <c r="C20" s="91"/>
      <c r="D20" s="59" t="s">
        <v>170</v>
      </c>
      <c r="E20" s="59" t="s">
        <v>410</v>
      </c>
      <c r="F20" s="171">
        <v>5</v>
      </c>
      <c r="G20" s="88" t="s">
        <v>411</v>
      </c>
      <c r="H20" s="89" t="s">
        <v>412</v>
      </c>
      <c r="I20" s="88" t="s">
        <v>413</v>
      </c>
      <c r="J20" s="219">
        <v>4.5</v>
      </c>
      <c r="K20" s="111">
        <v>0.915</v>
      </c>
      <c r="L20" s="80" t="s">
        <v>414</v>
      </c>
    </row>
    <row r="21" ht="27" spans="1:11">
      <c r="A21" s="159"/>
      <c r="B21" s="91"/>
      <c r="C21" s="91"/>
      <c r="D21" s="59" t="s">
        <v>170</v>
      </c>
      <c r="E21" s="59" t="s">
        <v>415</v>
      </c>
      <c r="F21" s="171">
        <v>7</v>
      </c>
      <c r="G21" s="88" t="s">
        <v>416</v>
      </c>
      <c r="H21" s="89" t="s">
        <v>417</v>
      </c>
      <c r="I21" s="88" t="s">
        <v>418</v>
      </c>
      <c r="J21" s="219">
        <v>7</v>
      </c>
      <c r="K21" s="111">
        <v>1</v>
      </c>
    </row>
    <row r="22" ht="31.05" customHeight="1" spans="1:12">
      <c r="A22" s="159"/>
      <c r="B22" s="91"/>
      <c r="C22" s="91"/>
      <c r="D22" s="59" t="s">
        <v>419</v>
      </c>
      <c r="E22" s="59" t="s">
        <v>420</v>
      </c>
      <c r="F22" s="171">
        <v>15</v>
      </c>
      <c r="G22" s="88" t="s">
        <v>416</v>
      </c>
      <c r="H22" s="89" t="s">
        <v>417</v>
      </c>
      <c r="I22" s="88" t="s">
        <v>421</v>
      </c>
      <c r="J22" s="219">
        <v>15</v>
      </c>
      <c r="K22" s="111">
        <v>1</v>
      </c>
      <c r="L22" s="80" t="s">
        <v>422</v>
      </c>
    </row>
    <row r="23" ht="28.95" customHeight="1" spans="1:11">
      <c r="A23" s="159" t="s">
        <v>238</v>
      </c>
      <c r="B23" s="85" t="s">
        <v>423</v>
      </c>
      <c r="C23" s="86">
        <f>[2]Sheet2!E22</f>
        <v>720</v>
      </c>
      <c r="D23" s="59" t="s">
        <v>188</v>
      </c>
      <c r="E23" s="59" t="s">
        <v>424</v>
      </c>
      <c r="F23" s="171">
        <v>10</v>
      </c>
      <c r="G23" s="88" t="s">
        <v>425</v>
      </c>
      <c r="H23" s="89">
        <v>1</v>
      </c>
      <c r="I23" s="88" t="s">
        <v>426</v>
      </c>
      <c r="J23" s="219">
        <v>10</v>
      </c>
      <c r="K23" s="111">
        <v>1</v>
      </c>
    </row>
    <row r="24" ht="25.2" customHeight="1" spans="1:11">
      <c r="A24" s="159"/>
      <c r="B24" s="91"/>
      <c r="C24" s="213"/>
      <c r="D24" s="59" t="s">
        <v>197</v>
      </c>
      <c r="E24" s="59" t="s">
        <v>427</v>
      </c>
      <c r="F24" s="171">
        <v>10</v>
      </c>
      <c r="G24" s="88" t="s">
        <v>428</v>
      </c>
      <c r="H24" s="89">
        <v>1</v>
      </c>
      <c r="I24" s="88" t="s">
        <v>429</v>
      </c>
      <c r="J24" s="219">
        <v>10</v>
      </c>
      <c r="K24" s="111">
        <v>1</v>
      </c>
    </row>
    <row r="25" ht="28.95" customHeight="1" spans="1:12">
      <c r="A25" s="159"/>
      <c r="B25" s="91"/>
      <c r="C25" s="213"/>
      <c r="D25" s="59" t="s">
        <v>213</v>
      </c>
      <c r="E25" s="59" t="s">
        <v>430</v>
      </c>
      <c r="F25" s="171">
        <v>10</v>
      </c>
      <c r="G25" s="88" t="s">
        <v>431</v>
      </c>
      <c r="H25" s="89">
        <v>1</v>
      </c>
      <c r="I25" s="88" t="s">
        <v>432</v>
      </c>
      <c r="J25" s="219">
        <v>0</v>
      </c>
      <c r="K25" s="111">
        <v>0</v>
      </c>
      <c r="L25" s="80" t="s">
        <v>433</v>
      </c>
    </row>
    <row r="26" ht="25.2" customHeight="1" spans="1:11">
      <c r="A26" s="159"/>
      <c r="B26" s="92"/>
      <c r="C26" s="92"/>
      <c r="D26" s="59" t="s">
        <v>175</v>
      </c>
      <c r="E26" s="59" t="s">
        <v>434</v>
      </c>
      <c r="F26" s="171">
        <v>20</v>
      </c>
      <c r="G26" s="88" t="s">
        <v>435</v>
      </c>
      <c r="H26" s="89" t="s">
        <v>436</v>
      </c>
      <c r="I26" s="88" t="s">
        <v>437</v>
      </c>
      <c r="J26" s="219">
        <v>20</v>
      </c>
      <c r="K26" s="111">
        <v>1</v>
      </c>
    </row>
    <row r="27" ht="25.2" customHeight="1" spans="1:11">
      <c r="A27" s="214" t="s">
        <v>255</v>
      </c>
      <c r="B27" s="91" t="s">
        <v>438</v>
      </c>
      <c r="C27" s="213">
        <f>[2]Sheet2!E23</f>
        <v>340</v>
      </c>
      <c r="D27" s="59" t="s">
        <v>188</v>
      </c>
      <c r="E27" s="59" t="s">
        <v>439</v>
      </c>
      <c r="F27" s="171">
        <v>10</v>
      </c>
      <c r="G27" s="88" t="s">
        <v>440</v>
      </c>
      <c r="H27" s="89" t="s">
        <v>441</v>
      </c>
      <c r="I27" s="88" t="s">
        <v>442</v>
      </c>
      <c r="J27" s="219">
        <v>10</v>
      </c>
      <c r="K27" s="111">
        <v>1</v>
      </c>
    </row>
    <row r="28" ht="26.4" customHeight="1" spans="1:11">
      <c r="A28" s="215"/>
      <c r="B28" s="91"/>
      <c r="C28" s="213"/>
      <c r="D28" s="59" t="s">
        <v>213</v>
      </c>
      <c r="E28" s="59" t="s">
        <v>443</v>
      </c>
      <c r="F28" s="211">
        <v>20</v>
      </c>
      <c r="G28" s="88" t="s">
        <v>444</v>
      </c>
      <c r="H28" s="89">
        <v>1</v>
      </c>
      <c r="I28" s="88" t="s">
        <v>445</v>
      </c>
      <c r="J28" s="219">
        <v>20</v>
      </c>
      <c r="K28" s="111">
        <v>1</v>
      </c>
    </row>
    <row r="29" ht="26.4" customHeight="1" spans="1:12">
      <c r="A29" s="216"/>
      <c r="B29" s="92"/>
      <c r="C29" s="217"/>
      <c r="D29" s="59" t="s">
        <v>175</v>
      </c>
      <c r="E29" s="59" t="s">
        <v>230</v>
      </c>
      <c r="F29" s="211">
        <v>20</v>
      </c>
      <c r="G29" s="88" t="s">
        <v>446</v>
      </c>
      <c r="H29" s="59" t="s">
        <v>447</v>
      </c>
      <c r="I29" s="90" t="s">
        <v>448</v>
      </c>
      <c r="J29" s="219">
        <v>20</v>
      </c>
      <c r="K29" s="111">
        <v>1</v>
      </c>
      <c r="L29" s="80" t="s">
        <v>449</v>
      </c>
    </row>
    <row r="30" ht="25.5" customHeight="1" spans="1:11">
      <c r="A30" s="58" t="s">
        <v>20</v>
      </c>
      <c r="B30" s="58"/>
      <c r="C30" s="105">
        <f>SUM(C4:C29)</f>
        <v>3895</v>
      </c>
      <c r="D30" s="106"/>
      <c r="E30" s="106"/>
      <c r="F30" s="182">
        <f>SUM(F4:F29)</f>
        <v>200</v>
      </c>
      <c r="G30" s="108"/>
      <c r="H30" s="58"/>
      <c r="I30" s="58"/>
      <c r="J30" s="221">
        <f>'4-3演艺集团产出及绩效计算'!H8</f>
        <v>43.1819512195122</v>
      </c>
      <c r="K30" s="222">
        <f>J30/50</f>
        <v>0.863639024390244</v>
      </c>
    </row>
    <row r="31" spans="10:10">
      <c r="J31" s="220"/>
    </row>
    <row r="32" spans="10:10">
      <c r="J32" s="220"/>
    </row>
    <row r="33" spans="10:10">
      <c r="J33" s="220"/>
    </row>
    <row r="34" spans="10:10">
      <c r="J34" s="220"/>
    </row>
    <row r="35" spans="10:10">
      <c r="J35" s="220"/>
    </row>
    <row r="36" spans="10:10">
      <c r="J36" s="220"/>
    </row>
    <row r="37" spans="10:10">
      <c r="J37" s="220"/>
    </row>
    <row r="38" spans="10:10">
      <c r="J38" s="220"/>
    </row>
    <row r="48" spans="7:7">
      <c r="G48" s="79">
        <f>100/6</f>
        <v>16.6666666666667</v>
      </c>
    </row>
  </sheetData>
  <mergeCells count="14">
    <mergeCell ref="A2:I2"/>
    <mergeCell ref="A30:B30"/>
    <mergeCell ref="A4:A15"/>
    <mergeCell ref="A16:A22"/>
    <mergeCell ref="A23:A26"/>
    <mergeCell ref="A27:A29"/>
    <mergeCell ref="B4:B15"/>
    <mergeCell ref="B16:B22"/>
    <mergeCell ref="B23:B26"/>
    <mergeCell ref="B27:B29"/>
    <mergeCell ref="C4:C15"/>
    <mergeCell ref="C16:C22"/>
    <mergeCell ref="C23:C26"/>
    <mergeCell ref="C27:C29"/>
  </mergeCells>
  <printOptions horizontalCentered="1"/>
  <pageMargins left="0.393055555555556" right="0.393055555555556" top="0.354166666666667" bottom="0.354166666666667" header="0.314583333333333" footer="0.118055555555556"/>
  <pageSetup paperSize="9" scale="51"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view="pageBreakPreview" zoomScaleNormal="100" workbookViewId="0">
      <selection activeCell="C5" sqref="C5"/>
    </sheetView>
  </sheetViews>
  <sheetFormatPr defaultColWidth="8.7" defaultRowHeight="13.5"/>
  <cols>
    <col min="1" max="2" width="8.7" style="52"/>
    <col min="3" max="3" width="33.9" style="52" customWidth="1"/>
    <col min="4" max="4" width="12.6" style="52" customWidth="1"/>
    <col min="5" max="5" width="9.25" style="52"/>
    <col min="6" max="6" width="14.7" style="52" customWidth="1"/>
    <col min="7" max="7" width="9.25" style="52"/>
    <col min="8" max="8" width="14" style="52" customWidth="1"/>
    <col min="9" max="12" width="8.7" style="52" hidden="1" customWidth="1"/>
    <col min="13" max="13" width="9.375" style="52" hidden="1" customWidth="1"/>
    <col min="14" max="16" width="8.7" style="52" hidden="1" customWidth="1"/>
    <col min="17" max="16384" width="8.7" style="52"/>
  </cols>
  <sheetData>
    <row r="1" spans="1:1">
      <c r="A1" s="148" t="s">
        <v>450</v>
      </c>
    </row>
    <row r="2" ht="37.05" customHeight="1" spans="1:16">
      <c r="A2" s="55" t="s">
        <v>451</v>
      </c>
      <c r="B2" s="55"/>
      <c r="C2" s="55"/>
      <c r="D2" s="55"/>
      <c r="E2" s="55"/>
      <c r="F2" s="55"/>
      <c r="G2" s="55"/>
      <c r="H2" s="55"/>
      <c r="I2" s="73" t="s">
        <v>8</v>
      </c>
      <c r="J2" s="73"/>
      <c r="K2" s="73"/>
      <c r="L2" s="73"/>
      <c r="M2" s="73" t="s">
        <v>9</v>
      </c>
      <c r="N2" s="73"/>
      <c r="O2" s="73"/>
      <c r="P2" s="73"/>
    </row>
    <row r="3" ht="27" spans="1:16">
      <c r="A3" s="200" t="s">
        <v>3</v>
      </c>
      <c r="B3" s="200" t="s">
        <v>24</v>
      </c>
      <c r="C3" s="200" t="s">
        <v>25</v>
      </c>
      <c r="D3" s="200" t="s">
        <v>298</v>
      </c>
      <c r="E3" s="200" t="s">
        <v>299</v>
      </c>
      <c r="F3" s="201" t="s">
        <v>300</v>
      </c>
      <c r="G3" s="201" t="s">
        <v>13</v>
      </c>
      <c r="H3" s="201" t="s">
        <v>301</v>
      </c>
      <c r="I3" s="73" t="s">
        <v>11</v>
      </c>
      <c r="J3" s="73" t="s">
        <v>452</v>
      </c>
      <c r="K3" s="73" t="s">
        <v>13</v>
      </c>
      <c r="L3" s="74" t="s">
        <v>303</v>
      </c>
      <c r="M3" s="73" t="s">
        <v>11</v>
      </c>
      <c r="N3" s="73" t="s">
        <v>452</v>
      </c>
      <c r="O3" s="73" t="s">
        <v>13</v>
      </c>
      <c r="P3" s="74" t="s">
        <v>303</v>
      </c>
    </row>
    <row r="4" ht="27" customHeight="1" spans="1:16">
      <c r="A4" s="59" t="s">
        <v>16</v>
      </c>
      <c r="B4" s="60" t="s">
        <v>33</v>
      </c>
      <c r="C4" s="61" t="s">
        <v>453</v>
      </c>
      <c r="D4" s="62">
        <v>1755</v>
      </c>
      <c r="E4" s="62">
        <v>50</v>
      </c>
      <c r="F4" s="202">
        <f>E4*D4/$D$8</f>
        <v>22.5288831835687</v>
      </c>
      <c r="G4" s="202">
        <v>48.62</v>
      </c>
      <c r="H4" s="202">
        <f>G4*D4/$D$8</f>
        <v>21.9070860077022</v>
      </c>
      <c r="I4" s="75">
        <f>'4-2青岛演艺集团产出及效益绩效汇总表'!F4+'4-2青岛演艺集团产出及效益绩效汇总表'!F5+'4-2青岛演艺集团产出及效益绩效汇总表'!F6+'4-2青岛演艺集团产出及效益绩效汇总表'!F7+'4-2青岛演艺集团产出及效益绩效汇总表'!F8+'4-2青岛演艺集团产出及效益绩效汇总表'!F9</f>
        <v>18</v>
      </c>
      <c r="J4" s="75">
        <f>D4/$D$8*I4</f>
        <v>8.11039794608472</v>
      </c>
      <c r="K4" s="75">
        <f>'4-2青岛演艺集团产出及效益绩效汇总表'!J4+'4-2青岛演艺集团产出及效益绩效汇总表'!J5+'4-2青岛演艺集团产出及效益绩效汇总表'!J6+'4-2青岛演艺集团产出及效益绩效汇总表'!J7+'4-2青岛演艺集团产出及效益绩效汇总表'!J8+'4-2青岛演艺集团产出及效益绩效汇总表'!J9</f>
        <v>17.25</v>
      </c>
      <c r="L4" s="75">
        <f>D4/$D$8*K4</f>
        <v>7.77246469833119</v>
      </c>
      <c r="M4" s="75">
        <f>'4-2青岛演艺集团产出及效益绩效汇总表'!F10+'4-2青岛演艺集团产出及效益绩效汇总表'!F11+'4-2青岛演艺集团产出及效益绩效汇总表'!F12+'4-2青岛演艺集团产出及效益绩效汇总表'!F13+'4-2青岛演艺集团产出及效益绩效汇总表'!F14+'4-2青岛演艺集团产出及效益绩效汇总表'!F15</f>
        <v>32</v>
      </c>
      <c r="N4" s="75">
        <f>D4/$D$8*M4</f>
        <v>14.418485237484</v>
      </c>
      <c r="O4" s="75">
        <f>'4-2青岛演艺集团产出及效益绩效汇总表'!J10+'4-2青岛演艺集团产出及效益绩效汇总表'!J11+'4-2青岛演艺集团产出及效益绩效汇总表'!J12+'4-2青岛演艺集团产出及效益绩效汇总表'!J13+'4-2青岛演艺集团产出及效益绩效汇总表'!J14+'4-2青岛演艺集团产出及效益绩效汇总表'!J15</f>
        <v>31.37</v>
      </c>
      <c r="P4" s="75">
        <f>D4/$D$8*O4</f>
        <v>14.134621309371</v>
      </c>
    </row>
    <row r="5" ht="27" customHeight="1" spans="1:16">
      <c r="A5" s="59"/>
      <c r="B5" s="60" t="s">
        <v>34</v>
      </c>
      <c r="C5" s="64" t="s">
        <v>47</v>
      </c>
      <c r="D5" s="62">
        <v>1080</v>
      </c>
      <c r="E5" s="62">
        <v>50</v>
      </c>
      <c r="F5" s="202">
        <f>E5*D5/$D$8</f>
        <v>13.8639281129653</v>
      </c>
      <c r="G5" s="202">
        <v>34.32</v>
      </c>
      <c r="H5" s="202">
        <f>G5*D5/$D$8</f>
        <v>9.51620025673941</v>
      </c>
      <c r="I5" s="76">
        <f>'4-2青岛演艺集团产出及效益绩效汇总表'!F16+'4-2青岛演艺集团产出及效益绩效汇总表'!F17+'4-2青岛演艺集团产出及效益绩效汇总表'!F18</f>
        <v>20</v>
      </c>
      <c r="J5" s="75">
        <f t="shared" ref="J5:J7" si="0">D5/$D$8*I5</f>
        <v>5.54557124518614</v>
      </c>
      <c r="K5" s="76">
        <f>'4-2青岛演艺集团产出及效益绩效汇总表'!J16+'4-2青岛演艺集团产出及效益绩效汇总表'!J17+'4-2青岛演艺集团产出及效益绩效汇总表'!J18</f>
        <v>14.75</v>
      </c>
      <c r="L5" s="75">
        <f t="shared" ref="L5:L7" si="1">D5/$D$8*K5</f>
        <v>4.08985879332478</v>
      </c>
      <c r="M5" s="76">
        <f>'4-2青岛演艺集团产出及效益绩效汇总表'!F19+'4-2青岛演艺集团产出及效益绩效汇总表'!F20+'4-2青岛演艺集团产出及效益绩效汇总表'!F22+'4-2青岛演艺集团产出及效益绩效汇总表'!F21</f>
        <v>30</v>
      </c>
      <c r="N5" s="75">
        <f t="shared" ref="N5:N7" si="2">D5/$D$8*M5</f>
        <v>8.3183568677792</v>
      </c>
      <c r="O5" s="76">
        <f>'4-2青岛演艺集团产出及效益绩效汇总表'!J19+'4-2青岛演艺集团产出及效益绩效汇总表'!J20+'4-2青岛演艺集团产出及效益绩效汇总表'!J22+'4-2青岛演艺集团产出及效益绩效汇总表'!J21</f>
        <v>26.5</v>
      </c>
      <c r="P5" s="75">
        <f t="shared" ref="P5:P7" si="3">D5/$D$8*O5</f>
        <v>7.34788189987163</v>
      </c>
    </row>
    <row r="6" ht="27" customHeight="1" spans="1:16">
      <c r="A6" s="59"/>
      <c r="B6" s="60" t="s">
        <v>34</v>
      </c>
      <c r="C6" s="61" t="s">
        <v>454</v>
      </c>
      <c r="D6" s="62">
        <v>720</v>
      </c>
      <c r="E6" s="62">
        <v>50</v>
      </c>
      <c r="F6" s="202">
        <f>E6*D6/$D$8</f>
        <v>9.24261874197689</v>
      </c>
      <c r="G6" s="202">
        <v>40</v>
      </c>
      <c r="H6" s="202">
        <f>G6*D6/$D$8</f>
        <v>7.39409499358151</v>
      </c>
      <c r="I6" s="76">
        <f>'4-2青岛演艺集团产出及效益绩效汇总表'!F23+'4-2青岛演艺集团产出及效益绩效汇总表'!F24+'4-2青岛演艺集团产出及效益绩效汇总表'!F25</f>
        <v>30</v>
      </c>
      <c r="J6" s="75">
        <f t="shared" si="0"/>
        <v>5.54557124518614</v>
      </c>
      <c r="K6" s="76">
        <f>'4-2青岛演艺集团产出及效益绩效汇总表'!J23+'4-2青岛演艺集团产出及效益绩效汇总表'!J24+'4-2青岛演艺集团产出及效益绩效汇总表'!J25</f>
        <v>20</v>
      </c>
      <c r="L6" s="75">
        <f t="shared" si="1"/>
        <v>3.69704749679076</v>
      </c>
      <c r="M6" s="76">
        <f>'4-2青岛演艺集团产出及效益绩效汇总表'!F26</f>
        <v>20</v>
      </c>
      <c r="N6" s="75">
        <f t="shared" si="2"/>
        <v>3.69704749679076</v>
      </c>
      <c r="O6" s="76">
        <f>'4-2青岛演艺集团产出及效益绩效汇总表'!J26</f>
        <v>20</v>
      </c>
      <c r="P6" s="75">
        <f t="shared" si="3"/>
        <v>3.69704749679076</v>
      </c>
    </row>
    <row r="7" ht="27" customHeight="1" spans="1:16">
      <c r="A7" s="59"/>
      <c r="B7" s="60" t="s">
        <v>34</v>
      </c>
      <c r="C7" s="64" t="s">
        <v>455</v>
      </c>
      <c r="D7" s="62">
        <v>340</v>
      </c>
      <c r="E7" s="62">
        <v>50</v>
      </c>
      <c r="F7" s="202">
        <f>E7*D7/$D$8</f>
        <v>4.36456996148909</v>
      </c>
      <c r="G7" s="202">
        <v>50</v>
      </c>
      <c r="H7" s="202">
        <f>G7*D7/$D$8</f>
        <v>4.36456996148909</v>
      </c>
      <c r="I7" s="76">
        <f>'4-2青岛演艺集团产出及效益绩效汇总表'!F27+'4-2青岛演艺集团产出及效益绩效汇总表'!F28</f>
        <v>30</v>
      </c>
      <c r="J7" s="75">
        <f t="shared" si="0"/>
        <v>2.61874197689345</v>
      </c>
      <c r="K7" s="76">
        <f>'4-2青岛演艺集团产出及效益绩效汇总表'!J27+'4-2青岛演艺集团产出及效益绩效汇总表'!J28</f>
        <v>30</v>
      </c>
      <c r="L7" s="75">
        <f t="shared" si="1"/>
        <v>2.61874197689345</v>
      </c>
      <c r="M7" s="76">
        <f>'4-2青岛演艺集团产出及效益绩效汇总表'!F29</f>
        <v>20</v>
      </c>
      <c r="N7" s="75">
        <f t="shared" si="2"/>
        <v>1.74582798459564</v>
      </c>
      <c r="O7" s="76">
        <f>'4-2青岛演艺集团产出及效益绩效汇总表'!J29</f>
        <v>20</v>
      </c>
      <c r="P7" s="75">
        <f t="shared" si="3"/>
        <v>1.74582798459564</v>
      </c>
    </row>
    <row r="8" s="51" customFormat="1" ht="27" customHeight="1" spans="1:16">
      <c r="A8" s="65" t="s">
        <v>20</v>
      </c>
      <c r="B8" s="66"/>
      <c r="C8" s="67"/>
      <c r="D8" s="203">
        <f t="shared" ref="D8:J8" si="4">SUM(D4:D7)</f>
        <v>3895</v>
      </c>
      <c r="E8" s="203">
        <f t="shared" si="4"/>
        <v>200</v>
      </c>
      <c r="F8" s="204">
        <f t="shared" si="4"/>
        <v>50</v>
      </c>
      <c r="G8" s="204">
        <f t="shared" si="4"/>
        <v>172.94</v>
      </c>
      <c r="H8" s="204">
        <f t="shared" si="4"/>
        <v>43.1819512195122</v>
      </c>
      <c r="I8" s="76">
        <f t="shared" si="4"/>
        <v>98</v>
      </c>
      <c r="J8" s="76">
        <f t="shared" si="4"/>
        <v>21.8202824133504</v>
      </c>
      <c r="K8" s="76">
        <f t="shared" ref="K8:P8" si="5">SUM(K4:K7)</f>
        <v>82</v>
      </c>
      <c r="L8" s="75">
        <f t="shared" si="5"/>
        <v>18.1781129653402</v>
      </c>
      <c r="M8" s="76">
        <f t="shared" si="5"/>
        <v>102</v>
      </c>
      <c r="N8" s="76">
        <f t="shared" si="5"/>
        <v>28.1797175866496</v>
      </c>
      <c r="O8" s="76">
        <f t="shared" si="5"/>
        <v>97.87</v>
      </c>
      <c r="P8" s="75">
        <f t="shared" si="5"/>
        <v>26.925378690629</v>
      </c>
    </row>
    <row r="9" spans="9:16">
      <c r="I9" s="50"/>
      <c r="J9" s="50"/>
      <c r="K9" s="50"/>
      <c r="L9" s="75"/>
      <c r="M9" s="50"/>
      <c r="N9" s="50"/>
      <c r="O9" s="50"/>
      <c r="P9" s="75"/>
    </row>
    <row r="10" spans="9:16">
      <c r="I10" s="205"/>
      <c r="J10" s="205"/>
      <c r="K10" s="205"/>
      <c r="L10" s="205"/>
      <c r="M10" s="205"/>
      <c r="N10" s="205"/>
      <c r="O10" s="205"/>
      <c r="P10" s="205"/>
    </row>
  </sheetData>
  <mergeCells count="5">
    <mergeCell ref="A2:H2"/>
    <mergeCell ref="I2:L2"/>
    <mergeCell ref="M2:P2"/>
    <mergeCell ref="A8:C8"/>
    <mergeCell ref="A4:A7"/>
  </mergeCells>
  <pageMargins left="0.751388888888889" right="0.751388888888889" top="1" bottom="1" header="0.5" footer="0.5"/>
  <pageSetup paperSize="9" scale="72" fitToHeight="0"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view="pageBreakPreview" zoomScale="90" zoomScaleNormal="100" workbookViewId="0">
      <pane xSplit="5" ySplit="3" topLeftCell="G19" activePane="bottomRight" state="frozenSplit"/>
      <selection/>
      <selection pane="topRight"/>
      <selection pane="bottomLeft"/>
      <selection pane="bottomRight" activeCell="I20" sqref="I20:J21"/>
    </sheetView>
  </sheetViews>
  <sheetFormatPr defaultColWidth="9" defaultRowHeight="13.5"/>
  <cols>
    <col min="1" max="1" width="8.7" style="113" customWidth="1"/>
    <col min="2" max="2" width="16.8" style="114" customWidth="1"/>
    <col min="3" max="3" width="16" style="114" customWidth="1"/>
    <col min="4" max="4" width="28.75" style="114" customWidth="1"/>
    <col min="5" max="5" width="9.25" style="183" customWidth="1"/>
    <col min="6" max="6" width="49.85" style="116" customWidth="1"/>
    <col min="7" max="7" width="23" style="114" customWidth="1"/>
    <col min="8" max="8" width="61.525" style="113" customWidth="1"/>
    <col min="9" max="9" width="8.375" style="117" customWidth="1"/>
    <col min="10" max="10" width="8.4" style="184" customWidth="1"/>
    <col min="11" max="16384" width="9" style="113"/>
  </cols>
  <sheetData>
    <row r="1" spans="1:1">
      <c r="A1" s="185" t="s">
        <v>456</v>
      </c>
    </row>
    <row r="2" ht="20.25" spans="1:8">
      <c r="A2" s="120" t="s">
        <v>457</v>
      </c>
      <c r="B2" s="120"/>
      <c r="C2" s="120"/>
      <c r="D2" s="120"/>
      <c r="E2" s="120"/>
      <c r="F2" s="120"/>
      <c r="G2" s="120"/>
      <c r="H2" s="120"/>
    </row>
    <row r="3" ht="32" customHeight="1" spans="1:10">
      <c r="A3" s="121" t="s">
        <v>81</v>
      </c>
      <c r="B3" s="121" t="s">
        <v>82</v>
      </c>
      <c r="C3" s="121" t="s">
        <v>83</v>
      </c>
      <c r="D3" s="121" t="s">
        <v>84</v>
      </c>
      <c r="E3" s="186" t="s">
        <v>85</v>
      </c>
      <c r="F3" s="121" t="s">
        <v>86</v>
      </c>
      <c r="G3" s="121" t="s">
        <v>87</v>
      </c>
      <c r="H3" s="121" t="s">
        <v>88</v>
      </c>
      <c r="I3" s="143" t="s">
        <v>13</v>
      </c>
      <c r="J3" s="194" t="s">
        <v>89</v>
      </c>
    </row>
    <row r="4" ht="178" customHeight="1" spans="1:10">
      <c r="A4" s="123" t="s">
        <v>308</v>
      </c>
      <c r="B4" s="123" t="s">
        <v>91</v>
      </c>
      <c r="C4" s="123" t="s">
        <v>92</v>
      </c>
      <c r="D4" s="123" t="str">
        <f t="shared" ref="D4:D11" si="0">C4</f>
        <v>立项依据
充分性</v>
      </c>
      <c r="E4" s="124">
        <v>2</v>
      </c>
      <c r="F4" s="125" t="s">
        <v>93</v>
      </c>
      <c r="G4" s="123" t="s">
        <v>94</v>
      </c>
      <c r="H4" s="126" t="s">
        <v>458</v>
      </c>
      <c r="I4" s="145">
        <f t="shared" ref="I4:I6" si="1">E4</f>
        <v>2</v>
      </c>
      <c r="J4" s="195">
        <f t="shared" ref="J4:J20" si="2">I4/E4</f>
        <v>1</v>
      </c>
    </row>
    <row r="5" ht="80" customHeight="1" spans="1:10">
      <c r="A5" s="123"/>
      <c r="B5" s="123"/>
      <c r="C5" s="123" t="s">
        <v>96</v>
      </c>
      <c r="D5" s="123" t="str">
        <f t="shared" si="0"/>
        <v>立项程序
规范性</v>
      </c>
      <c r="E5" s="124">
        <v>3</v>
      </c>
      <c r="F5" s="125" t="s">
        <v>97</v>
      </c>
      <c r="G5" s="123" t="s">
        <v>98</v>
      </c>
      <c r="H5" s="126" t="s">
        <v>99</v>
      </c>
      <c r="I5" s="145">
        <f t="shared" si="1"/>
        <v>3</v>
      </c>
      <c r="J5" s="195">
        <f t="shared" si="2"/>
        <v>1</v>
      </c>
    </row>
    <row r="6" ht="81.75" customHeight="1" spans="1:10">
      <c r="A6" s="123"/>
      <c r="B6" s="123" t="s">
        <v>100</v>
      </c>
      <c r="C6" s="123" t="s">
        <v>101</v>
      </c>
      <c r="D6" s="123" t="str">
        <f t="shared" si="0"/>
        <v>绩效目标
合理性</v>
      </c>
      <c r="E6" s="124">
        <v>3</v>
      </c>
      <c r="F6" s="125" t="s">
        <v>102</v>
      </c>
      <c r="G6" s="123" t="s">
        <v>103</v>
      </c>
      <c r="H6" s="126" t="s">
        <v>104</v>
      </c>
      <c r="I6" s="145">
        <f t="shared" si="1"/>
        <v>3</v>
      </c>
      <c r="J6" s="195">
        <f t="shared" si="2"/>
        <v>1</v>
      </c>
    </row>
    <row r="7" ht="72" customHeight="1" spans="1:10">
      <c r="A7" s="123"/>
      <c r="B7" s="123"/>
      <c r="C7" s="123" t="s">
        <v>106</v>
      </c>
      <c r="D7" s="123" t="str">
        <f t="shared" si="0"/>
        <v>绩效指标
明确性</v>
      </c>
      <c r="E7" s="124">
        <v>3</v>
      </c>
      <c r="F7" s="125" t="s">
        <v>107</v>
      </c>
      <c r="G7" s="123" t="s">
        <v>108</v>
      </c>
      <c r="H7" s="126" t="s">
        <v>459</v>
      </c>
      <c r="I7" s="145">
        <v>2</v>
      </c>
      <c r="J7" s="195">
        <f t="shared" si="2"/>
        <v>0.666666666666667</v>
      </c>
    </row>
    <row r="8" ht="33" customHeight="1" spans="1:10">
      <c r="A8" s="123"/>
      <c r="B8" s="123" t="s">
        <v>311</v>
      </c>
      <c r="C8" s="123" t="s">
        <v>111</v>
      </c>
      <c r="D8" s="123" t="str">
        <f t="shared" si="0"/>
        <v>财政资金扶持占比</v>
      </c>
      <c r="E8" s="124">
        <v>2</v>
      </c>
      <c r="F8" s="125" t="s">
        <v>112</v>
      </c>
      <c r="G8" s="123" t="s">
        <v>113</v>
      </c>
      <c r="H8" s="126" t="s">
        <v>114</v>
      </c>
      <c r="I8" s="145">
        <f t="shared" ref="I8:I10" si="3">E8</f>
        <v>2</v>
      </c>
      <c r="J8" s="195">
        <f t="shared" si="2"/>
        <v>1</v>
      </c>
    </row>
    <row r="9" ht="45" customHeight="1" spans="1:10">
      <c r="A9" s="123"/>
      <c r="B9" s="123"/>
      <c r="C9" s="123" t="s">
        <v>115</v>
      </c>
      <c r="D9" s="123" t="str">
        <f t="shared" si="0"/>
        <v>资金分配
合理性</v>
      </c>
      <c r="E9" s="124">
        <v>3</v>
      </c>
      <c r="F9" s="125" t="s">
        <v>116</v>
      </c>
      <c r="G9" s="123" t="s">
        <v>103</v>
      </c>
      <c r="H9" s="126" t="s">
        <v>117</v>
      </c>
      <c r="I9" s="145">
        <f t="shared" si="3"/>
        <v>3</v>
      </c>
      <c r="J9" s="195">
        <f t="shared" si="2"/>
        <v>1</v>
      </c>
    </row>
    <row r="10" ht="34" customHeight="1" spans="1:10">
      <c r="A10" s="123" t="s">
        <v>312</v>
      </c>
      <c r="B10" s="123" t="s">
        <v>313</v>
      </c>
      <c r="C10" s="123" t="s">
        <v>121</v>
      </c>
      <c r="D10" s="123" t="str">
        <f t="shared" si="0"/>
        <v>配套资金到位率</v>
      </c>
      <c r="E10" s="124">
        <v>2</v>
      </c>
      <c r="F10" s="125" t="s">
        <v>122</v>
      </c>
      <c r="G10" s="127">
        <v>1</v>
      </c>
      <c r="H10" s="126" t="s">
        <v>123</v>
      </c>
      <c r="I10" s="145">
        <f t="shared" si="3"/>
        <v>2</v>
      </c>
      <c r="J10" s="195">
        <f t="shared" si="2"/>
        <v>1</v>
      </c>
    </row>
    <row r="11" ht="43" customHeight="1" spans="1:10">
      <c r="A11" s="123"/>
      <c r="B11" s="123"/>
      <c r="C11" s="123" t="s">
        <v>124</v>
      </c>
      <c r="D11" s="123" t="str">
        <f t="shared" si="0"/>
        <v>预算执行率</v>
      </c>
      <c r="E11" s="124">
        <v>3</v>
      </c>
      <c r="F11" s="125" t="s">
        <v>460</v>
      </c>
      <c r="G11" s="127">
        <v>1</v>
      </c>
      <c r="H11" s="125" t="s">
        <v>126</v>
      </c>
      <c r="I11" s="145">
        <v>2</v>
      </c>
      <c r="J11" s="195">
        <f t="shared" si="2"/>
        <v>0.666666666666667</v>
      </c>
    </row>
    <row r="12" ht="23" customHeight="1" spans="1:10">
      <c r="A12" s="123"/>
      <c r="B12" s="123"/>
      <c r="C12" s="128" t="s">
        <v>128</v>
      </c>
      <c r="D12" s="123" t="s">
        <v>129</v>
      </c>
      <c r="E12" s="124">
        <v>2</v>
      </c>
      <c r="F12" s="125" t="s">
        <v>130</v>
      </c>
      <c r="G12" s="127" t="s">
        <v>131</v>
      </c>
      <c r="H12" s="125" t="s">
        <v>132</v>
      </c>
      <c r="I12" s="145">
        <f t="shared" ref="I12:I19" si="4">E12</f>
        <v>2</v>
      </c>
      <c r="J12" s="195">
        <f t="shared" si="2"/>
        <v>1</v>
      </c>
    </row>
    <row r="13" ht="43" customHeight="1" spans="1:10">
      <c r="A13" s="123"/>
      <c r="B13" s="123"/>
      <c r="C13" s="129"/>
      <c r="D13" s="123" t="s">
        <v>133</v>
      </c>
      <c r="E13" s="124">
        <v>1</v>
      </c>
      <c r="F13" s="125" t="s">
        <v>134</v>
      </c>
      <c r="G13" s="127" t="s">
        <v>135</v>
      </c>
      <c r="H13" s="125" t="s">
        <v>136</v>
      </c>
      <c r="I13" s="145"/>
      <c r="J13" s="195">
        <f t="shared" si="2"/>
        <v>0</v>
      </c>
    </row>
    <row r="14" ht="38" customHeight="1" spans="1:10">
      <c r="A14" s="123"/>
      <c r="B14" s="123"/>
      <c r="C14" s="129"/>
      <c r="D14" s="123" t="s">
        <v>138</v>
      </c>
      <c r="E14" s="124">
        <v>3</v>
      </c>
      <c r="F14" s="125" t="s">
        <v>139</v>
      </c>
      <c r="G14" s="127" t="s">
        <v>140</v>
      </c>
      <c r="H14" s="125" t="s">
        <v>141</v>
      </c>
      <c r="I14" s="145">
        <v>3</v>
      </c>
      <c r="J14" s="195">
        <f t="shared" si="2"/>
        <v>1</v>
      </c>
    </row>
    <row r="15" ht="33" customHeight="1" spans="1:10">
      <c r="A15" s="123"/>
      <c r="B15" s="123"/>
      <c r="C15" s="129"/>
      <c r="D15" s="123" t="s">
        <v>143</v>
      </c>
      <c r="E15" s="124">
        <v>4</v>
      </c>
      <c r="F15" s="125" t="s">
        <v>144</v>
      </c>
      <c r="G15" s="127" t="s">
        <v>145</v>
      </c>
      <c r="H15" s="125" t="s">
        <v>319</v>
      </c>
      <c r="I15" s="145">
        <f t="shared" si="4"/>
        <v>4</v>
      </c>
      <c r="J15" s="195">
        <f t="shared" si="2"/>
        <v>1</v>
      </c>
    </row>
    <row r="16" ht="83" customHeight="1" spans="1:10">
      <c r="A16" s="123"/>
      <c r="B16" s="123" t="s">
        <v>148</v>
      </c>
      <c r="C16" s="123" t="s">
        <v>149</v>
      </c>
      <c r="D16" s="123" t="str">
        <f>C16</f>
        <v>管理制度
健全性</v>
      </c>
      <c r="E16" s="124">
        <v>2</v>
      </c>
      <c r="F16" s="125" t="s">
        <v>150</v>
      </c>
      <c r="G16" s="123" t="s">
        <v>151</v>
      </c>
      <c r="H16" s="126" t="s">
        <v>152</v>
      </c>
      <c r="I16" s="145">
        <f t="shared" si="4"/>
        <v>2</v>
      </c>
      <c r="J16" s="195">
        <f t="shared" si="2"/>
        <v>1</v>
      </c>
    </row>
    <row r="17" ht="44" customHeight="1" spans="1:10">
      <c r="A17" s="123"/>
      <c r="B17" s="123"/>
      <c r="C17" s="123" t="s">
        <v>153</v>
      </c>
      <c r="D17" s="123" t="s">
        <v>154</v>
      </c>
      <c r="E17" s="124">
        <v>3</v>
      </c>
      <c r="F17" s="125" t="s">
        <v>155</v>
      </c>
      <c r="G17" s="123" t="s">
        <v>156</v>
      </c>
      <c r="H17" s="126" t="s">
        <v>157</v>
      </c>
      <c r="I17" s="145">
        <f t="shared" si="4"/>
        <v>3</v>
      </c>
      <c r="J17" s="195">
        <f t="shared" si="2"/>
        <v>1</v>
      </c>
    </row>
    <row r="18" ht="33" customHeight="1" spans="1:10">
      <c r="A18" s="123"/>
      <c r="B18" s="123"/>
      <c r="C18" s="123"/>
      <c r="D18" s="123" t="s">
        <v>159</v>
      </c>
      <c r="E18" s="124">
        <v>2</v>
      </c>
      <c r="F18" s="125" t="s">
        <v>160</v>
      </c>
      <c r="G18" s="123" t="s">
        <v>161</v>
      </c>
      <c r="H18" s="126" t="s">
        <v>162</v>
      </c>
      <c r="I18" s="145">
        <f t="shared" si="4"/>
        <v>2</v>
      </c>
      <c r="J18" s="195">
        <f t="shared" si="2"/>
        <v>1</v>
      </c>
    </row>
    <row r="19" ht="39" customHeight="1" spans="1:10">
      <c r="A19" s="123"/>
      <c r="B19" s="123"/>
      <c r="C19" s="123"/>
      <c r="D19" s="123" t="s">
        <v>163</v>
      </c>
      <c r="E19" s="124">
        <v>2</v>
      </c>
      <c r="F19" s="125" t="s">
        <v>164</v>
      </c>
      <c r="G19" s="123" t="s">
        <v>165</v>
      </c>
      <c r="H19" s="126" t="s">
        <v>166</v>
      </c>
      <c r="I19" s="145">
        <f t="shared" si="4"/>
        <v>2</v>
      </c>
      <c r="J19" s="195">
        <f t="shared" si="2"/>
        <v>1</v>
      </c>
    </row>
    <row r="20" ht="33" customHeight="1" spans="1:10">
      <c r="A20" s="128" t="s">
        <v>321</v>
      </c>
      <c r="B20" s="128" t="s">
        <v>8</v>
      </c>
      <c r="C20" s="128" t="s">
        <v>8</v>
      </c>
      <c r="D20" s="128" t="s">
        <v>8</v>
      </c>
      <c r="E20" s="187">
        <v>50</v>
      </c>
      <c r="F20" s="131" t="s">
        <v>461</v>
      </c>
      <c r="G20" s="132"/>
      <c r="H20" s="133"/>
      <c r="I20" s="196">
        <f>'[3]青岛广播电视台产出及绩效计算 '!H15</f>
        <v>46.849915682968</v>
      </c>
      <c r="J20" s="197">
        <f t="shared" si="2"/>
        <v>0.93699831365936</v>
      </c>
    </row>
    <row r="21" ht="33" customHeight="1" spans="1:10">
      <c r="A21" s="129"/>
      <c r="B21" s="128" t="s">
        <v>9</v>
      </c>
      <c r="C21" s="128" t="s">
        <v>9</v>
      </c>
      <c r="D21" s="128" t="s">
        <v>9</v>
      </c>
      <c r="E21" s="188"/>
      <c r="F21" s="131" t="s">
        <v>461</v>
      </c>
      <c r="G21" s="132"/>
      <c r="H21" s="133"/>
      <c r="I21" s="198"/>
      <c r="J21" s="199"/>
    </row>
    <row r="22" ht="32.4" customHeight="1" spans="1:10">
      <c r="A22" s="129"/>
      <c r="B22" s="128" t="s">
        <v>169</v>
      </c>
      <c r="C22" s="123" t="s">
        <v>170</v>
      </c>
      <c r="D22" s="123" t="s">
        <v>462</v>
      </c>
      <c r="E22" s="189">
        <v>2</v>
      </c>
      <c r="F22" s="125" t="s">
        <v>463</v>
      </c>
      <c r="G22" s="127" t="s">
        <v>173</v>
      </c>
      <c r="H22" s="125" t="s">
        <v>464</v>
      </c>
      <c r="I22" s="145">
        <f t="shared" ref="I22:I28" si="5">E22</f>
        <v>2</v>
      </c>
      <c r="J22" s="195">
        <f t="shared" ref="J22:J29" si="6">I22/E22</f>
        <v>1</v>
      </c>
    </row>
    <row r="23" ht="32.4" customHeight="1" spans="1:10">
      <c r="A23" s="129"/>
      <c r="B23" s="129"/>
      <c r="C23" s="123" t="s">
        <v>175</v>
      </c>
      <c r="D23" s="123" t="s">
        <v>465</v>
      </c>
      <c r="E23" s="189">
        <v>1</v>
      </c>
      <c r="F23" s="125" t="s">
        <v>466</v>
      </c>
      <c r="G23" s="127" t="s">
        <v>467</v>
      </c>
      <c r="H23" s="125" t="s">
        <v>468</v>
      </c>
      <c r="I23" s="145">
        <f t="shared" si="5"/>
        <v>1</v>
      </c>
      <c r="J23" s="195">
        <f t="shared" si="6"/>
        <v>1</v>
      </c>
    </row>
    <row r="24" ht="32.4" customHeight="1" spans="1:10">
      <c r="A24" s="129"/>
      <c r="B24" s="129"/>
      <c r="C24" s="123" t="s">
        <v>175</v>
      </c>
      <c r="D24" s="123" t="s">
        <v>469</v>
      </c>
      <c r="E24" s="189">
        <v>1</v>
      </c>
      <c r="F24" s="190" t="s">
        <v>470</v>
      </c>
      <c r="G24" s="127"/>
      <c r="H24" s="125" t="s">
        <v>471</v>
      </c>
      <c r="I24" s="145">
        <f t="shared" si="5"/>
        <v>1</v>
      </c>
      <c r="J24" s="195">
        <f t="shared" si="6"/>
        <v>1</v>
      </c>
    </row>
    <row r="25" ht="32.4" customHeight="1" spans="1:10">
      <c r="A25" s="129"/>
      <c r="B25" s="129"/>
      <c r="C25" s="123" t="s">
        <v>175</v>
      </c>
      <c r="D25" s="123" t="s">
        <v>472</v>
      </c>
      <c r="E25" s="189">
        <v>2</v>
      </c>
      <c r="F25" s="137" t="s">
        <v>473</v>
      </c>
      <c r="G25" s="127"/>
      <c r="H25" s="137" t="s">
        <v>474</v>
      </c>
      <c r="I25" s="145">
        <f t="shared" si="5"/>
        <v>2</v>
      </c>
      <c r="J25" s="195">
        <f t="shared" si="6"/>
        <v>1</v>
      </c>
    </row>
    <row r="26" ht="32.4" customHeight="1" spans="1:10">
      <c r="A26" s="129"/>
      <c r="B26" s="129"/>
      <c r="C26" s="123" t="s">
        <v>175</v>
      </c>
      <c r="D26" s="123" t="s">
        <v>475</v>
      </c>
      <c r="E26" s="189">
        <v>1</v>
      </c>
      <c r="F26" s="137" t="s">
        <v>476</v>
      </c>
      <c r="G26" s="127" t="s">
        <v>477</v>
      </c>
      <c r="H26" s="125" t="s">
        <v>478</v>
      </c>
      <c r="I26" s="145">
        <f t="shared" si="5"/>
        <v>1</v>
      </c>
      <c r="J26" s="195">
        <f t="shared" si="6"/>
        <v>1</v>
      </c>
    </row>
    <row r="27" ht="32.4" customHeight="1" spans="1:10">
      <c r="A27" s="129"/>
      <c r="B27" s="129"/>
      <c r="C27" s="123" t="s">
        <v>175</v>
      </c>
      <c r="D27" s="123" t="s">
        <v>479</v>
      </c>
      <c r="E27" s="189">
        <v>1</v>
      </c>
      <c r="F27" s="125" t="s">
        <v>480</v>
      </c>
      <c r="G27" s="127" t="s">
        <v>481</v>
      </c>
      <c r="H27" s="125" t="s">
        <v>482</v>
      </c>
      <c r="I27" s="145">
        <f t="shared" si="5"/>
        <v>1</v>
      </c>
      <c r="J27" s="195">
        <f t="shared" si="6"/>
        <v>1</v>
      </c>
    </row>
    <row r="28" ht="54" customHeight="1" spans="1:11">
      <c r="A28" s="139"/>
      <c r="B28" s="139"/>
      <c r="C28" s="191" t="s">
        <v>175</v>
      </c>
      <c r="D28" s="191" t="s">
        <v>483</v>
      </c>
      <c r="E28" s="189">
        <v>2</v>
      </c>
      <c r="F28" s="192" t="s">
        <v>484</v>
      </c>
      <c r="G28" s="127"/>
      <c r="H28" s="125" t="s">
        <v>485</v>
      </c>
      <c r="I28" s="145">
        <f t="shared" si="5"/>
        <v>2</v>
      </c>
      <c r="J28" s="195">
        <f t="shared" si="6"/>
        <v>1</v>
      </c>
      <c r="K28" s="113" t="s">
        <v>337</v>
      </c>
    </row>
    <row r="29" ht="25.5" customHeight="1" spans="1:10">
      <c r="A29" s="140" t="s">
        <v>20</v>
      </c>
      <c r="B29" s="140"/>
      <c r="C29" s="140"/>
      <c r="D29" s="140"/>
      <c r="E29" s="193">
        <f>SUM(E4:E28)</f>
        <v>100</v>
      </c>
      <c r="F29" s="142"/>
      <c r="G29" s="140"/>
      <c r="H29" s="140"/>
      <c r="I29" s="145">
        <f>SUM(I4:I28)</f>
        <v>93.849915682968</v>
      </c>
      <c r="J29" s="195">
        <f t="shared" si="6"/>
        <v>0.93849915682968</v>
      </c>
    </row>
  </sheetData>
  <mergeCells count="18">
    <mergeCell ref="A2:H2"/>
    <mergeCell ref="F20:H20"/>
    <mergeCell ref="F21:H21"/>
    <mergeCell ref="A29:D29"/>
    <mergeCell ref="A4:A9"/>
    <mergeCell ref="A10:A19"/>
    <mergeCell ref="A20:A28"/>
    <mergeCell ref="B4:B5"/>
    <mergeCell ref="B6:B7"/>
    <mergeCell ref="B8:B9"/>
    <mergeCell ref="B10:B15"/>
    <mergeCell ref="B16:B19"/>
    <mergeCell ref="B22:B28"/>
    <mergeCell ref="C12:C15"/>
    <mergeCell ref="C17:C19"/>
    <mergeCell ref="E20:E21"/>
    <mergeCell ref="I20:I21"/>
    <mergeCell ref="J20:J21"/>
  </mergeCells>
  <printOptions horizontalCentered="1"/>
  <pageMargins left="0.393055555555556" right="0.393055555555556" top="0.354166666666667" bottom="0" header="0.314583333333333" footer="0.118055555555556"/>
  <pageSetup paperSize="9" scale="5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附表1文化体制改革和媒体融合发展专项资金评分汇总表</vt:lpstr>
      <vt:lpstr>附表2文化体制改革及媒体融合发展专项资金项目一览表</vt:lpstr>
      <vt:lpstr>3-1青岛日报-共性指标</vt:lpstr>
      <vt:lpstr>3-2青岛日报报业集团产出及效益绩效汇总表</vt:lpstr>
      <vt:lpstr>3-3报业产出及绩效计算</vt:lpstr>
      <vt:lpstr>4-1青岛演艺集团-共性指标</vt:lpstr>
      <vt:lpstr>4-2青岛演艺集团产出及效益绩效汇总表</vt:lpstr>
      <vt:lpstr>4-3演艺集团产出及绩效计算</vt:lpstr>
      <vt:lpstr>5-1青岛广播电视台-共性指标 </vt:lpstr>
      <vt:lpstr>5-2青岛广播电视台产出及效益绩效汇总表</vt:lpstr>
      <vt:lpstr>5-3青岛广播电视台产出及绩效计算 </vt:lpstr>
      <vt:lpstr>6-1青岛出版集团-共性指标 </vt:lpstr>
      <vt:lpstr>6-2青岛出版集团产出及效益绩效汇总表 </vt:lpstr>
      <vt:lpstr>6-3出版产出及绩效计算 </vt:lpstr>
      <vt:lpstr>预算执行明细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长颈鹿长呀长</cp:lastModifiedBy>
  <dcterms:created xsi:type="dcterms:W3CDTF">2008-09-11T17:22:00Z</dcterms:created>
  <cp:lastPrinted>2021-07-25T13:00:00Z</cp:lastPrinted>
  <dcterms:modified xsi:type="dcterms:W3CDTF">2021-08-10T07:21:56Z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09EA99A13A1249568675A7B9B33D8B91</vt:lpwstr>
  </property>
</Properties>
</file>